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Wi\Administration\CWi Web\Catalogues\"/>
    </mc:Choice>
  </mc:AlternateContent>
  <xr:revisionPtr revIDLastSave="0" documentId="13_ncr:1_{E2995484-66ED-4B96-A2F6-997EA51B89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dPump_HP_TQ Calculator" sheetId="5" r:id="rId1"/>
    <sheet name="Pump Reference" sheetId="7" r:id="rId2"/>
    <sheet name="Operation Report" sheetId="4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5" l="1"/>
  <c r="F26" i="7" l="1"/>
  <c r="D26" i="7"/>
  <c r="S32" i="5" l="1"/>
  <c r="Q15" i="5"/>
  <c r="Q14" i="5"/>
  <c r="R15" i="5" l="1"/>
  <c r="R14" i="5"/>
  <c r="Q10" i="5"/>
  <c r="R10" i="5" l="1"/>
  <c r="T2" i="5"/>
  <c r="G26" i="7" l="1"/>
  <c r="E26" i="7"/>
  <c r="D21" i="7"/>
  <c r="C26" i="7"/>
  <c r="B21" i="7"/>
  <c r="K21" i="7"/>
  <c r="K26" i="7" s="1"/>
  <c r="J21" i="7"/>
  <c r="J26" i="7" s="1"/>
  <c r="I21" i="7"/>
  <c r="I26" i="7" s="1"/>
  <c r="H21" i="7"/>
  <c r="H26" i="7" s="1"/>
  <c r="E21" i="7"/>
  <c r="C21" i="7" l="1"/>
  <c r="H32" i="5"/>
  <c r="Q27" i="5"/>
  <c r="R27" i="5" s="1"/>
  <c r="Q26" i="5"/>
  <c r="R26" i="5" s="1"/>
  <c r="Q23" i="5"/>
  <c r="R23" i="5" s="1"/>
  <c r="Q22" i="5"/>
  <c r="R22" i="5" s="1"/>
  <c r="Q19" i="5"/>
  <c r="R19" i="5" s="1"/>
  <c r="Q18" i="5"/>
  <c r="R18" i="5" s="1"/>
  <c r="Q11" i="5"/>
  <c r="I36" i="5"/>
  <c r="J36" i="5" s="1"/>
  <c r="H36" i="5" s="1"/>
  <c r="I37" i="5"/>
  <c r="J37" i="5" s="1"/>
  <c r="I38" i="5"/>
  <c r="J38" i="5" s="1"/>
  <c r="I39" i="5"/>
  <c r="J39" i="5" s="1"/>
  <c r="H39" i="5" s="1"/>
  <c r="I40" i="5"/>
  <c r="J40" i="5" s="1"/>
  <c r="H40" i="5" s="1"/>
  <c r="I35" i="5"/>
  <c r="J35" i="5" s="1"/>
  <c r="M27" i="5"/>
  <c r="M26" i="5"/>
  <c r="M23" i="5"/>
  <c r="M22" i="5"/>
  <c r="N22" i="5" s="1"/>
  <c r="M19" i="5"/>
  <c r="M18" i="5"/>
  <c r="M15" i="5"/>
  <c r="M14" i="5"/>
  <c r="T14" i="5" s="1"/>
  <c r="U14" i="5" s="1"/>
  <c r="M11" i="5"/>
  <c r="M10" i="5"/>
  <c r="B40" i="5"/>
  <c r="B39" i="5"/>
  <c r="B38" i="5"/>
  <c r="B37" i="5"/>
  <c r="B36" i="5"/>
  <c r="AF34" i="5"/>
  <c r="AE34" i="5"/>
  <c r="AD34" i="5"/>
  <c r="AC34" i="5"/>
  <c r="AB34" i="5"/>
  <c r="AA34" i="5"/>
  <c r="Z34" i="5"/>
  <c r="Y34" i="5"/>
  <c r="X34" i="5"/>
  <c r="W34" i="5"/>
  <c r="U33" i="5"/>
  <c r="U34" i="5" s="1"/>
  <c r="T33" i="5"/>
  <c r="T34" i="5" s="1"/>
  <c r="S33" i="5"/>
  <c r="S34" i="5" s="1"/>
  <c r="R33" i="5"/>
  <c r="R34" i="5" s="1"/>
  <c r="Q33" i="5"/>
  <c r="Q34" i="5" s="1"/>
  <c r="P33" i="5"/>
  <c r="P34" i="5" s="1"/>
  <c r="O33" i="5"/>
  <c r="O34" i="5" s="1"/>
  <c r="N33" i="5"/>
  <c r="N34" i="5" s="1"/>
  <c r="M33" i="5"/>
  <c r="M34" i="5" s="1"/>
  <c r="L33" i="5"/>
  <c r="L34" i="5" s="1"/>
  <c r="S35" i="5" l="1"/>
  <c r="AD35" i="5" s="1"/>
  <c r="H35" i="5"/>
  <c r="L38" i="5"/>
  <c r="W38" i="5" s="1"/>
  <c r="H38" i="5"/>
  <c r="N37" i="5"/>
  <c r="Y37" i="5" s="1"/>
  <c r="H37" i="5"/>
  <c r="T15" i="5"/>
  <c r="U15" i="5" s="1"/>
  <c r="T10" i="5"/>
  <c r="U10" i="5" s="1"/>
  <c r="T11" i="5"/>
  <c r="U11" i="5" s="1"/>
  <c r="R11" i="5"/>
  <c r="N14" i="5"/>
  <c r="K14" i="5"/>
  <c r="K26" i="5"/>
  <c r="K18" i="5"/>
  <c r="T19" i="5"/>
  <c r="S19" i="5" s="1"/>
  <c r="T22" i="5"/>
  <c r="S22" i="5" s="1"/>
  <c r="K22" i="5"/>
  <c r="L40" i="5"/>
  <c r="W40" i="5" s="1"/>
  <c r="O40" i="5"/>
  <c r="Z40" i="5" s="1"/>
  <c r="L36" i="5"/>
  <c r="W36" i="5" s="1"/>
  <c r="R36" i="5"/>
  <c r="AC36" i="5" s="1"/>
  <c r="O36" i="5"/>
  <c r="Z36" i="5" s="1"/>
  <c r="O38" i="5"/>
  <c r="Z38" i="5" s="1"/>
  <c r="N36" i="5"/>
  <c r="Y36" i="5" s="1"/>
  <c r="S38" i="5"/>
  <c r="AD38" i="5" s="1"/>
  <c r="S40" i="5"/>
  <c r="AD40" i="5" s="1"/>
  <c r="S36" i="5"/>
  <c r="AD36" i="5" s="1"/>
  <c r="N39" i="5"/>
  <c r="Y39" i="5" s="1"/>
  <c r="R39" i="5"/>
  <c r="AC39" i="5" s="1"/>
  <c r="P39" i="5"/>
  <c r="AA39" i="5" s="1"/>
  <c r="T39" i="5"/>
  <c r="AE39" i="5" s="1"/>
  <c r="M39" i="5"/>
  <c r="X39" i="5" s="1"/>
  <c r="Q39" i="5"/>
  <c r="AB39" i="5" s="1"/>
  <c r="O39" i="5"/>
  <c r="Z39" i="5" s="1"/>
  <c r="S39" i="5"/>
  <c r="AD39" i="5" s="1"/>
  <c r="L39" i="5"/>
  <c r="W39" i="5" s="1"/>
  <c r="U39" i="5"/>
  <c r="AF39" i="5" s="1"/>
  <c r="L35" i="5"/>
  <c r="W35" i="5" s="1"/>
  <c r="U37" i="5"/>
  <c r="AF37" i="5" s="1"/>
  <c r="T23" i="5"/>
  <c r="S23" i="5" s="1"/>
  <c r="Q35" i="5"/>
  <c r="AB35" i="5" s="1"/>
  <c r="R40" i="5"/>
  <c r="AC40" i="5" s="1"/>
  <c r="T37" i="5"/>
  <c r="AE37" i="5" s="1"/>
  <c r="T26" i="5"/>
  <c r="S26" i="5" s="1"/>
  <c r="N35" i="5"/>
  <c r="Y35" i="5" s="1"/>
  <c r="R35" i="5"/>
  <c r="AC35" i="5" s="1"/>
  <c r="U40" i="5"/>
  <c r="AF40" i="5" s="1"/>
  <c r="Q40" i="5"/>
  <c r="AB40" i="5" s="1"/>
  <c r="M40" i="5"/>
  <c r="X40" i="5" s="1"/>
  <c r="U38" i="5"/>
  <c r="AF38" i="5" s="1"/>
  <c r="Q38" i="5"/>
  <c r="AB38" i="5" s="1"/>
  <c r="M38" i="5"/>
  <c r="X38" i="5" s="1"/>
  <c r="S37" i="5"/>
  <c r="AD37" i="5" s="1"/>
  <c r="O37" i="5"/>
  <c r="Z37" i="5" s="1"/>
  <c r="U36" i="5"/>
  <c r="AF36" i="5" s="1"/>
  <c r="Q36" i="5"/>
  <c r="AB36" i="5" s="1"/>
  <c r="M36" i="5"/>
  <c r="X36" i="5" s="1"/>
  <c r="T27" i="5"/>
  <c r="S27" i="5" s="1"/>
  <c r="P35" i="5"/>
  <c r="AA35" i="5" s="1"/>
  <c r="T35" i="5"/>
  <c r="AE35" i="5" s="1"/>
  <c r="Q37" i="5"/>
  <c r="AB37" i="5" s="1"/>
  <c r="M37" i="5"/>
  <c r="X37" i="5" s="1"/>
  <c r="M35" i="5"/>
  <c r="X35" i="5" s="1"/>
  <c r="U35" i="5"/>
  <c r="AF35" i="5" s="1"/>
  <c r="N40" i="5"/>
  <c r="Y40" i="5" s="1"/>
  <c r="R38" i="5"/>
  <c r="AC38" i="5" s="1"/>
  <c r="N38" i="5"/>
  <c r="Y38" i="5" s="1"/>
  <c r="P37" i="5"/>
  <c r="AA37" i="5" s="1"/>
  <c r="L37" i="5"/>
  <c r="W37" i="5" s="1"/>
  <c r="T18" i="5"/>
  <c r="S18" i="5" s="1"/>
  <c r="O35" i="5"/>
  <c r="Z35" i="5" s="1"/>
  <c r="T40" i="5"/>
  <c r="AE40" i="5" s="1"/>
  <c r="P40" i="5"/>
  <c r="AA40" i="5" s="1"/>
  <c r="T38" i="5"/>
  <c r="AE38" i="5" s="1"/>
  <c r="P38" i="5"/>
  <c r="AA38" i="5" s="1"/>
  <c r="R37" i="5"/>
  <c r="AC37" i="5" s="1"/>
  <c r="T36" i="5"/>
  <c r="AE36" i="5" s="1"/>
  <c r="P36" i="5"/>
  <c r="AA36" i="5" s="1"/>
  <c r="N11" i="5"/>
  <c r="N27" i="5"/>
  <c r="N19" i="5"/>
  <c r="N15" i="5"/>
  <c r="N23" i="5"/>
  <c r="N10" i="5"/>
  <c r="N18" i="5"/>
  <c r="N26" i="5"/>
  <c r="S15" i="5" l="1"/>
  <c r="S10" i="5"/>
  <c r="S11" i="5"/>
  <c r="S14" i="5"/>
  <c r="U19" i="5"/>
  <c r="K10" i="5"/>
  <c r="U22" i="5"/>
  <c r="U18" i="5"/>
  <c r="U23" i="5"/>
  <c r="U26" i="5"/>
  <c r="U27" i="5"/>
</calcChain>
</file>

<file path=xl/sharedStrings.xml><?xml version="1.0" encoding="utf-8"?>
<sst xmlns="http://schemas.openxmlformats.org/spreadsheetml/2006/main" count="204" uniqueCount="123">
  <si>
    <t>GPM</t>
  </si>
  <si>
    <t>LPM</t>
  </si>
  <si>
    <t>Liner Size</t>
  </si>
  <si>
    <t>PSI</t>
  </si>
  <si>
    <t>Speed</t>
  </si>
  <si>
    <t>Input HP Required</t>
  </si>
  <si>
    <t>Strokes</t>
  </si>
  <si>
    <t>KPA</t>
  </si>
  <si>
    <t>Liner</t>
  </si>
  <si>
    <t>Torque (ft/lbs)</t>
  </si>
  <si>
    <t>% of Rating</t>
  </si>
  <si>
    <t>Section</t>
  </si>
  <si>
    <t>Surface</t>
  </si>
  <si>
    <t>Pump 1</t>
  </si>
  <si>
    <t>Pump 2</t>
  </si>
  <si>
    <t>Intermediate Start</t>
  </si>
  <si>
    <t>Build Start</t>
  </si>
  <si>
    <t>Build Finish</t>
  </si>
  <si>
    <t>Lateral</t>
  </si>
  <si>
    <t>Well Plan 1</t>
  </si>
  <si>
    <t>Well Plan 2</t>
  </si>
  <si>
    <t>Well Plan 3</t>
  </si>
  <si>
    <t>Rod Load</t>
  </si>
  <si>
    <t>Pump #1</t>
  </si>
  <si>
    <t>Pump #2</t>
  </si>
  <si>
    <t>Enter Values in the YELLOW boxes.</t>
  </si>
  <si>
    <t>Output variables will be displayed in the table.</t>
  </si>
  <si>
    <t>Input Hp Req</t>
  </si>
  <si>
    <t>Gear Ratio</t>
  </si>
  <si>
    <t>Pump Specifications</t>
  </si>
  <si>
    <t>Stroke</t>
  </si>
  <si>
    <t>Stroke:</t>
  </si>
  <si>
    <t>Gear Ratio:</t>
  </si>
  <si>
    <t>Max SPM:</t>
  </si>
  <si>
    <t>HP:</t>
  </si>
  <si>
    <t>Max Liner Size:</t>
  </si>
  <si>
    <t>Pinion Torque Load Ft/lbs</t>
  </si>
  <si>
    <t>Maxium Rated:</t>
  </si>
  <si>
    <t>ft/lbs</t>
  </si>
  <si>
    <t>Max Rated PSI of Above Liner:</t>
  </si>
  <si>
    <t>lbs</t>
  </si>
  <si>
    <t>Pump Performance</t>
  </si>
  <si>
    <t>(Max Liner @ Max PSI)</t>
  </si>
  <si>
    <t>Max Rod Load:</t>
  </si>
  <si>
    <t>Instructions:</t>
  </si>
  <si>
    <t>780 986 9695</t>
  </si>
  <si>
    <t>&lt;------Change Running Strokes for value changes</t>
  </si>
  <si>
    <t>TRIPLEX MUD PUMP REFERENCE/COMPARISON</t>
  </si>
  <si>
    <t>Manufacturer</t>
  </si>
  <si>
    <t>TSC</t>
  </si>
  <si>
    <t>G/D</t>
  </si>
  <si>
    <t>HH/Bomco/Etc</t>
  </si>
  <si>
    <t>Model</t>
  </si>
  <si>
    <t>WF1300</t>
  </si>
  <si>
    <t>WF1300BH</t>
  </si>
  <si>
    <t>WF1600L</t>
  </si>
  <si>
    <t>WF1600LH</t>
  </si>
  <si>
    <t>PZ10</t>
  </si>
  <si>
    <t>PZ11</t>
  </si>
  <si>
    <t>PZ11HP</t>
  </si>
  <si>
    <t>F-1300</t>
  </si>
  <si>
    <t>F-1600</t>
  </si>
  <si>
    <t>F1600HL/SW</t>
  </si>
  <si>
    <t>HP</t>
  </si>
  <si>
    <t>Max Liner</t>
  </si>
  <si>
    <t>Max Pressure</t>
  </si>
  <si>
    <t>Max GPM</t>
  </si>
  <si>
    <t>Piston Load</t>
  </si>
  <si>
    <t>SPM</t>
  </si>
  <si>
    <t>Max Liner Size</t>
  </si>
  <si>
    <t>Max Pressure for Above Liner</t>
  </si>
  <si>
    <t>F/E Style</t>
  </si>
  <si>
    <t>PZ10/11</t>
  </si>
  <si>
    <t>LW BH (PZL Int)</t>
  </si>
  <si>
    <t>PZLHP/LW BH</t>
  </si>
  <si>
    <t>PZLHP</t>
  </si>
  <si>
    <t>F1300/1600</t>
  </si>
  <si>
    <t>FC / SW L Shaped</t>
  </si>
  <si>
    <t>Est Weight</t>
  </si>
  <si>
    <t>Pump</t>
  </si>
  <si>
    <t>Pump Skid</t>
  </si>
  <si>
    <t>K20 Dampner</t>
  </si>
  <si>
    <t>5/6 Way Discharge Block</t>
  </si>
  <si>
    <t>Liner Wash/Lube Sys</t>
  </si>
  <si>
    <t>Total Est Operating Weight</t>
  </si>
  <si>
    <t>Avg Pressure</t>
  </si>
  <si>
    <t>Pump Model:</t>
  </si>
  <si>
    <t>Current Hours:</t>
  </si>
  <si>
    <t>Operator/Owner:</t>
  </si>
  <si>
    <t>Brand/Model:</t>
  </si>
  <si>
    <t>Gearbox/Trans:</t>
  </si>
  <si>
    <t>Customer/Pump Information</t>
  </si>
  <si>
    <t>Drive Details</t>
  </si>
  <si>
    <t>AC, DC or Engine:</t>
  </si>
  <si>
    <t>Change Frequency:</t>
  </si>
  <si>
    <t># of Speed/Ratios</t>
  </si>
  <si>
    <t>Pump Sheave (OD)</t>
  </si>
  <si>
    <t>Driver Sheave (OD)</t>
  </si>
  <si>
    <t>Operation Maintenance Info</t>
  </si>
  <si>
    <t>Running Lube Pressure (psi)</t>
  </si>
  <si>
    <t>Holes Drilled:</t>
  </si>
  <si>
    <t>Rig#</t>
  </si>
  <si>
    <t>Pump Brand:</t>
  </si>
  <si>
    <t>Date Into Service:</t>
  </si>
  <si>
    <t>Oil (Brand/Grade)</t>
  </si>
  <si>
    <t>Pump Summary Report</t>
  </si>
  <si>
    <t>Please prove any further comments, notes as applicable:</t>
  </si>
  <si>
    <t>Date:</t>
  </si>
  <si>
    <t>Mud Temps (avg/high)</t>
  </si>
  <si>
    <r>
      <t xml:space="preserve">Well Plan Operating Summary Details - </t>
    </r>
    <r>
      <rPr>
        <b/>
        <i/>
        <sz val="12"/>
        <color theme="1"/>
        <rFont val="Calibri"/>
        <family val="2"/>
        <scheme val="minor"/>
      </rPr>
      <t>(Most Frequent Operating)</t>
    </r>
  </si>
  <si>
    <t>Pump Running Temp (Oil °C):</t>
  </si>
  <si>
    <t>Please provide comments on repairs (minor/major) as applicable</t>
  </si>
  <si>
    <t>at bottom of page. Attach reports as needed.</t>
  </si>
  <si>
    <t>Belt Width (# Ribs)</t>
  </si>
  <si>
    <t>Total Vol (L)</t>
  </si>
  <si>
    <t>Lateral Section</t>
  </si>
  <si>
    <t xml:space="preserve">Build Section finish </t>
  </si>
  <si>
    <t>Build Section start</t>
  </si>
  <si>
    <t>Well Plan Pump Details</t>
  </si>
  <si>
    <t>Pump Details</t>
  </si>
  <si>
    <t>Pinion Torque:</t>
  </si>
  <si>
    <t>Intermediate</t>
  </si>
  <si>
    <t>Enter values in the yellow boxes. Starting with Pump Specifications, values can be pulled from second tab to complete. Enter will plan KPA/Strokes and Liner size - and will output required HP, torque utilized and % of total pump load rating.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</si>
</sst>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Eras Demi ITC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9" fontId="2" fillId="6" borderId="14" xfId="1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2" fillId="0" borderId="0" xfId="0" applyFont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4" fillId="0" borderId="13" xfId="0" applyFont="1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2" fillId="0" borderId="19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22" xfId="0" applyFont="1" applyBorder="1"/>
    <xf numFmtId="0" fontId="2" fillId="0" borderId="0" xfId="0" applyFont="1" applyBorder="1"/>
    <xf numFmtId="0" fontId="0" fillId="0" borderId="23" xfId="0" applyBorder="1"/>
    <xf numFmtId="0" fontId="2" fillId="0" borderId="0" xfId="0" applyFont="1" applyAlignment="1">
      <alignment wrapText="1"/>
    </xf>
    <xf numFmtId="0" fontId="0" fillId="0" borderId="0" xfId="0" applyProtection="1"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0" fillId="6" borderId="7" xfId="0" applyFill="1" applyBorder="1" applyAlignment="1" applyProtection="1">
      <alignment wrapText="1"/>
      <protection hidden="1"/>
    </xf>
    <xf numFmtId="0" fontId="0" fillId="6" borderId="9" xfId="0" applyFill="1" applyBorder="1" applyAlignment="1" applyProtection="1">
      <alignment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0" fillId="6" borderId="8" xfId="0" applyFill="1" applyBorder="1" applyAlignment="1" applyProtection="1">
      <alignment wrapText="1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1" fontId="0" fillId="4" borderId="7" xfId="0" applyNumberFormat="1" applyFill="1" applyBorder="1" applyAlignment="1" applyProtection="1">
      <alignment horizontal="center"/>
      <protection hidden="1"/>
    </xf>
    <xf numFmtId="1" fontId="0" fillId="3" borderId="7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6" borderId="7" xfId="0" applyNumberFormat="1" applyFill="1" applyBorder="1" applyAlignment="1" applyProtection="1">
      <alignment horizontal="center"/>
      <protection hidden="1"/>
    </xf>
    <xf numFmtId="0" fontId="0" fillId="9" borderId="7" xfId="0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hidden="1"/>
    </xf>
    <xf numFmtId="0" fontId="2" fillId="0" borderId="19" xfId="0" applyFont="1" applyFill="1" applyBorder="1" applyProtection="1">
      <protection hidden="1"/>
    </xf>
    <xf numFmtId="0" fontId="2" fillId="0" borderId="12" xfId="0" applyFont="1" applyFill="1" applyBorder="1" applyProtection="1">
      <protection hidden="1"/>
    </xf>
    <xf numFmtId="1" fontId="0" fillId="12" borderId="7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hidden="1"/>
    </xf>
    <xf numFmtId="9" fontId="0" fillId="0" borderId="0" xfId="1" applyFon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 vertical="center" wrapText="1"/>
      <protection hidden="1"/>
    </xf>
    <xf numFmtId="0" fontId="0" fillId="12" borderId="21" xfId="0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>
      <alignment horizontal="center" vertical="center" wrapText="1"/>
    </xf>
    <xf numFmtId="0" fontId="0" fillId="0" borderId="28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1" xfId="0" applyBorder="1" applyAlignment="1">
      <alignment horizontal="center"/>
    </xf>
    <xf numFmtId="1" fontId="0" fillId="12" borderId="31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9" borderId="2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9" borderId="30" xfId="0" applyFill="1" applyBorder="1" applyAlignment="1" applyProtection="1">
      <alignment horizontal="center"/>
      <protection locked="0"/>
    </xf>
    <xf numFmtId="0" fontId="0" fillId="9" borderId="31" xfId="0" applyFill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0" fillId="0" borderId="22" xfId="0" applyBorder="1" applyProtection="1"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5" borderId="7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2" borderId="16" xfId="0" applyFont="1" applyFill="1" applyBorder="1" applyAlignment="1"/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left"/>
    </xf>
    <xf numFmtId="1" fontId="2" fillId="2" borderId="16" xfId="0" applyNumberFormat="1" applyFont="1" applyFill="1" applyBorder="1" applyAlignment="1"/>
    <xf numFmtId="1" fontId="2" fillId="2" borderId="15" xfId="0" applyNumberFormat="1" applyFont="1" applyFill="1" applyBorder="1" applyAlignment="1"/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9" borderId="0" xfId="0" applyFill="1" applyBorder="1"/>
    <xf numFmtId="0" fontId="0" fillId="6" borderId="0" xfId="0" applyFill="1" applyBorder="1" applyAlignment="1" applyProtection="1">
      <alignment wrapText="1"/>
      <protection hidden="1"/>
    </xf>
    <xf numFmtId="0" fontId="2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29" xfId="0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Border="1" applyProtection="1">
      <protection hidden="1"/>
    </xf>
    <xf numFmtId="1" fontId="0" fillId="4" borderId="29" xfId="0" applyNumberFormat="1" applyFill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1" fontId="0" fillId="6" borderId="31" xfId="0" applyNumberFormat="1" applyFill="1" applyBorder="1" applyAlignment="1" applyProtection="1">
      <alignment horizontal="center"/>
      <protection hidden="1"/>
    </xf>
    <xf numFmtId="1" fontId="0" fillId="0" borderId="12" xfId="0" applyNumberFormat="1" applyBorder="1" applyProtection="1">
      <protection hidden="1"/>
    </xf>
    <xf numFmtId="1" fontId="0" fillId="0" borderId="31" xfId="0" applyNumberFormat="1" applyBorder="1" applyAlignment="1" applyProtection="1">
      <alignment horizontal="center"/>
      <protection hidden="1"/>
    </xf>
    <xf numFmtId="1" fontId="0" fillId="0" borderId="35" xfId="0" applyNumberFormat="1" applyFill="1" applyBorder="1" applyAlignment="1" applyProtection="1">
      <alignment horizontal="center"/>
      <protection hidden="1"/>
    </xf>
    <xf numFmtId="1" fontId="0" fillId="4" borderId="31" xfId="0" applyNumberFormat="1" applyFill="1" applyBorder="1" applyAlignment="1" applyProtection="1">
      <alignment horizontal="center"/>
      <protection hidden="1"/>
    </xf>
    <xf numFmtId="1" fontId="0" fillId="4" borderId="32" xfId="0" applyNumberFormat="1" applyFill="1" applyBorder="1" applyAlignment="1" applyProtection="1">
      <alignment horizontal="center"/>
      <protection hidden="1"/>
    </xf>
    <xf numFmtId="0" fontId="2" fillId="12" borderId="27" xfId="0" applyFont="1" applyFill="1" applyBorder="1" applyAlignment="1" applyProtection="1">
      <alignment horizontal="center" vertical="center" wrapText="1"/>
      <protection hidden="1"/>
    </xf>
    <xf numFmtId="9" fontId="2" fillId="12" borderId="29" xfId="1" applyFont="1" applyFill="1" applyBorder="1" applyAlignment="1" applyProtection="1">
      <alignment horizontal="center"/>
      <protection hidden="1"/>
    </xf>
    <xf numFmtId="9" fontId="2" fillId="0" borderId="23" xfId="1" applyFont="1" applyFill="1" applyBorder="1" applyAlignment="1" applyProtection="1">
      <alignment horizontal="center"/>
      <protection hidden="1"/>
    </xf>
    <xf numFmtId="1" fontId="0" fillId="13" borderId="7" xfId="0" applyNumberFormat="1" applyFill="1" applyBorder="1" applyAlignment="1" applyProtection="1">
      <alignment horizontal="center"/>
      <protection hidden="1"/>
    </xf>
    <xf numFmtId="1" fontId="0" fillId="13" borderId="31" xfId="0" applyNumberFormat="1" applyFill="1" applyBorder="1" applyAlignment="1" applyProtection="1">
      <alignment horizontal="center"/>
      <protection hidden="1"/>
    </xf>
    <xf numFmtId="1" fontId="0" fillId="3" borderId="31" xfId="0" applyNumberFormat="1" applyFill="1" applyBorder="1" applyAlignment="1" applyProtection="1">
      <alignment horizontal="center"/>
      <protection hidden="1"/>
    </xf>
    <xf numFmtId="0" fontId="2" fillId="9" borderId="0" xfId="0" applyFont="1" applyFill="1" applyBorder="1"/>
    <xf numFmtId="0" fontId="7" fillId="9" borderId="0" xfId="0" applyFont="1" applyFill="1" applyBorder="1"/>
    <xf numFmtId="0" fontId="2" fillId="9" borderId="7" xfId="0" applyFont="1" applyFill="1" applyBorder="1" applyAlignment="1" applyProtection="1">
      <alignment horizontal="center"/>
      <protection locked="0"/>
    </xf>
    <xf numFmtId="0" fontId="2" fillId="9" borderId="36" xfId="0" applyFont="1" applyFill="1" applyBorder="1" applyAlignment="1" applyProtection="1">
      <alignment horizontal="center"/>
      <protection locked="0"/>
    </xf>
    <xf numFmtId="0" fontId="2" fillId="9" borderId="31" xfId="0" applyFont="1" applyFill="1" applyBorder="1" applyAlignment="1" applyProtection="1">
      <alignment horizontal="center"/>
      <protection locked="0"/>
    </xf>
    <xf numFmtId="0" fontId="2" fillId="6" borderId="17" xfId="0" applyFont="1" applyFill="1" applyBorder="1" applyProtection="1">
      <protection hidden="1"/>
    </xf>
    <xf numFmtId="0" fontId="0" fillId="6" borderId="16" xfId="0" applyFill="1" applyBorder="1" applyProtection="1">
      <protection hidden="1"/>
    </xf>
    <xf numFmtId="0" fontId="0" fillId="6" borderId="15" xfId="0" applyFill="1" applyBorder="1"/>
    <xf numFmtId="0" fontId="5" fillId="6" borderId="37" xfId="0" applyFont="1" applyFill="1" applyBorder="1"/>
    <xf numFmtId="0" fontId="0" fillId="6" borderId="38" xfId="0" applyFill="1" applyBorder="1"/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9" fillId="6" borderId="37" xfId="0" applyFont="1" applyFill="1" applyBorder="1" applyAlignment="1">
      <alignment horizontal="left"/>
    </xf>
    <xf numFmtId="0" fontId="10" fillId="6" borderId="38" xfId="0" applyFont="1" applyFill="1" applyBorder="1"/>
    <xf numFmtId="0" fontId="10" fillId="6" borderId="38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2" fillId="9" borderId="14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 hidden="1"/>
    </xf>
    <xf numFmtId="9" fontId="2" fillId="12" borderId="32" xfId="1" applyFont="1" applyFill="1" applyBorder="1" applyAlignment="1" applyProtection="1">
      <alignment horizontal="center"/>
      <protection hidden="1"/>
    </xf>
    <xf numFmtId="9" fontId="0" fillId="0" borderId="12" xfId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39" xfId="0" applyBorder="1" applyAlignment="1">
      <alignment horizontal="center"/>
    </xf>
    <xf numFmtId="0" fontId="15" fillId="7" borderId="24" xfId="0" applyFont="1" applyFill="1" applyBorder="1"/>
    <xf numFmtId="0" fontId="0" fillId="7" borderId="25" xfId="0" applyFill="1" applyBorder="1" applyAlignment="1">
      <alignment horizontal="center"/>
    </xf>
    <xf numFmtId="0" fontId="0" fillId="7" borderId="25" xfId="0" applyFill="1" applyBorder="1"/>
    <xf numFmtId="0" fontId="0" fillId="7" borderId="20" xfId="0" applyFill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16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5" fillId="7" borderId="24" xfId="0" applyFont="1" applyFill="1" applyBorder="1" applyAlignment="1">
      <alignment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19" xfId="0" applyFont="1" applyFill="1" applyBorder="1" applyProtection="1">
      <protection hidden="1"/>
    </xf>
    <xf numFmtId="1" fontId="19" fillId="2" borderId="16" xfId="0" applyNumberFormat="1" applyFont="1" applyFill="1" applyBorder="1" applyAlignment="1"/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6" fillId="7" borderId="7" xfId="0" applyFont="1" applyFill="1" applyBorder="1" applyAlignment="1">
      <alignment horizontal="right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/>
    </xf>
    <xf numFmtId="0" fontId="6" fillId="7" borderId="7" xfId="0" applyFont="1" applyFill="1" applyBorder="1" applyAlignment="1">
      <alignment horizontal="right" vertical="center"/>
    </xf>
    <xf numFmtId="0" fontId="2" fillId="8" borderId="24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0" fontId="2" fillId="8" borderId="20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6" borderId="33" xfId="0" applyFont="1" applyFill="1" applyBorder="1" applyAlignment="1" applyProtection="1">
      <alignment horizontal="center" vertical="center" wrapText="1"/>
      <protection hidden="1"/>
    </xf>
    <xf numFmtId="0" fontId="2" fillId="6" borderId="34" xfId="0" applyFont="1" applyFill="1" applyBorder="1" applyAlignment="1" applyProtection="1">
      <alignment horizontal="center" vertical="center" wrapText="1"/>
      <protection hidden="1"/>
    </xf>
    <xf numFmtId="0" fontId="2" fillId="6" borderId="10" xfId="0" applyFont="1" applyFill="1" applyBorder="1" applyAlignment="1" applyProtection="1">
      <alignment horizontal="center" vertical="center" wrapText="1"/>
      <protection hidden="1"/>
    </xf>
    <xf numFmtId="0" fontId="2" fillId="6" borderId="8" xfId="0" applyFont="1" applyFill="1" applyBorder="1" applyAlignment="1" applyProtection="1">
      <alignment horizontal="center" vertical="center" wrapText="1"/>
      <protection hidden="1"/>
    </xf>
    <xf numFmtId="0" fontId="2" fillId="13" borderId="7" xfId="0" applyFont="1" applyFill="1" applyBorder="1" applyAlignment="1" applyProtection="1">
      <alignment horizontal="center" vertical="center" wrapText="1"/>
      <protection hidden="1"/>
    </xf>
    <xf numFmtId="0" fontId="2" fillId="9" borderId="17" xfId="0" applyFont="1" applyFill="1" applyBorder="1" applyAlignment="1" applyProtection="1">
      <alignment horizontal="center"/>
      <protection hidden="1"/>
    </xf>
    <xf numFmtId="0" fontId="2" fillId="9" borderId="16" xfId="0" applyFont="1" applyFill="1" applyBorder="1" applyAlignment="1" applyProtection="1">
      <alignment horizontal="center"/>
      <protection hidden="1"/>
    </xf>
    <xf numFmtId="0" fontId="2" fillId="9" borderId="15" xfId="0" applyFont="1" applyFill="1" applyBorder="1" applyAlignment="1" applyProtection="1">
      <alignment horizontal="center"/>
      <protection hidden="1"/>
    </xf>
    <xf numFmtId="1" fontId="2" fillId="0" borderId="2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right"/>
      <protection hidden="1"/>
    </xf>
    <xf numFmtId="0" fontId="19" fillId="0" borderId="12" xfId="0" applyFont="1" applyFill="1" applyBorder="1" applyProtection="1">
      <protection hidden="1"/>
    </xf>
    <xf numFmtId="0" fontId="5" fillId="9" borderId="19" xfId="0" applyFont="1" applyFill="1" applyBorder="1" applyProtection="1">
      <protection hidden="1"/>
    </xf>
    <xf numFmtId="0" fontId="0" fillId="9" borderId="19" xfId="0" applyFill="1" applyBorder="1"/>
    <xf numFmtId="0" fontId="5" fillId="9" borderId="0" xfId="0" applyFont="1" applyFill="1" applyBorder="1" applyProtection="1">
      <protection hidden="1"/>
    </xf>
    <xf numFmtId="0" fontId="5" fillId="9" borderId="12" xfId="0" applyFont="1" applyFill="1" applyBorder="1" applyProtection="1">
      <protection hidden="1"/>
    </xf>
    <xf numFmtId="0" fontId="0" fillId="9" borderId="12" xfId="0" applyFill="1" applyBorder="1"/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2" fillId="5" borderId="37" xfId="0" applyFont="1" applyFill="1" applyBorder="1" applyAlignment="1" applyProtection="1">
      <alignment vertical="center"/>
    </xf>
    <xf numFmtId="0" fontId="8" fillId="5" borderId="38" xfId="0" applyFont="1" applyFill="1" applyBorder="1" applyAlignment="1" applyProtection="1">
      <alignment horizontal="center" vertical="center"/>
    </xf>
    <xf numFmtId="0" fontId="2" fillId="8" borderId="24" xfId="0" applyFont="1" applyFill="1" applyBorder="1" applyProtection="1"/>
    <xf numFmtId="0" fontId="0" fillId="8" borderId="25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6" fillId="14" borderId="7" xfId="0" applyFont="1" applyFill="1" applyBorder="1" applyAlignment="1" applyProtection="1">
      <alignment horizontal="center"/>
    </xf>
    <xf numFmtId="0" fontId="2" fillId="14" borderId="7" xfId="0" applyFont="1" applyFill="1" applyBorder="1" applyAlignment="1" applyProtection="1">
      <alignment horizontal="center"/>
    </xf>
    <xf numFmtId="0" fontId="4" fillId="14" borderId="7" xfId="0" applyFont="1" applyFill="1" applyBorder="1" applyAlignment="1" applyProtection="1">
      <alignment horizontal="center"/>
    </xf>
    <xf numFmtId="0" fontId="11" fillId="10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3" fillId="11" borderId="7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6"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259080</xdr:colOff>
      <xdr:row>1</xdr:row>
      <xdr:rowOff>15240</xdr:rowOff>
    </xdr:from>
    <xdr:to>
      <xdr:col>31</xdr:col>
      <xdr:colOff>220979</xdr:colOff>
      <xdr:row>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AC8D13-EE06-4052-B009-13984C4DD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6080" y="205740"/>
          <a:ext cx="906780" cy="3886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155762</xdr:colOff>
      <xdr:row>0</xdr:row>
      <xdr:rowOff>47625</xdr:rowOff>
    </xdr:from>
    <xdr:to>
      <xdr:col>0</xdr:col>
      <xdr:colOff>898712</xdr:colOff>
      <xdr:row>0</xdr:row>
      <xdr:rowOff>366032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552CF3-FC23-43CC-85D8-74B0DCBCB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62" y="47625"/>
          <a:ext cx="742950" cy="318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22E80-8604-46FC-8101-676352B7EF0B}">
  <sheetPr>
    <pageSetUpPr fitToPage="1"/>
  </sheetPr>
  <dimension ref="B1:AF40"/>
  <sheetViews>
    <sheetView tabSelected="1" zoomScale="85" zoomScaleNormal="85" workbookViewId="0">
      <selection activeCell="N2" sqref="N2"/>
    </sheetView>
  </sheetViews>
  <sheetFormatPr defaultRowHeight="15" x14ac:dyDescent="0.25"/>
  <cols>
    <col min="1" max="1" width="1" customWidth="1"/>
    <col min="3" max="7" width="8.85546875" hidden="1" customWidth="1"/>
    <col min="8" max="8" width="8.28515625" customWidth="1"/>
    <col min="9" max="9" width="8.85546875" hidden="1" customWidth="1"/>
    <col min="10" max="10" width="7.42578125" customWidth="1"/>
    <col min="11" max="11" width="7" customWidth="1"/>
    <col min="12" max="21" width="7.7109375" customWidth="1"/>
    <col min="22" max="22" width="0.42578125" customWidth="1"/>
    <col min="23" max="32" width="6.85546875" customWidth="1"/>
    <col min="33" max="33" width="7.5703125" customWidth="1"/>
  </cols>
  <sheetData>
    <row r="1" spans="2:32" ht="15.75" thickBot="1" x14ac:dyDescent="0.3">
      <c r="B1" s="3"/>
      <c r="H1" s="3"/>
      <c r="J1" s="3"/>
      <c r="K1" s="3"/>
      <c r="L1" s="3"/>
      <c r="M1" s="3"/>
      <c r="N1" s="3"/>
      <c r="O1" s="3"/>
      <c r="AD1" s="3"/>
    </row>
    <row r="2" spans="2:32" ht="16.5" thickBot="1" x14ac:dyDescent="0.3">
      <c r="B2" s="113" t="s">
        <v>29</v>
      </c>
      <c r="C2" s="114"/>
      <c r="D2" s="114"/>
      <c r="E2" s="114"/>
      <c r="F2" s="114"/>
      <c r="G2" s="114"/>
      <c r="H2" s="115"/>
      <c r="I2" s="114"/>
      <c r="J2" s="116"/>
      <c r="K2" s="14"/>
      <c r="L2" s="14"/>
      <c r="M2" s="74" t="s">
        <v>34</v>
      </c>
      <c r="N2" s="108">
        <v>1500</v>
      </c>
      <c r="O2" s="38"/>
      <c r="P2" s="81" t="s">
        <v>31</v>
      </c>
      <c r="Q2" s="108">
        <v>11</v>
      </c>
      <c r="R2" s="38"/>
      <c r="S2" s="74" t="s">
        <v>43</v>
      </c>
      <c r="T2" s="159">
        <f>(N3^2*PI()/4)*N4</f>
        <v>108026.01958817522</v>
      </c>
      <c r="U2" s="38" t="s">
        <v>40</v>
      </c>
      <c r="V2" s="38"/>
      <c r="W2" s="195" t="s">
        <v>44</v>
      </c>
      <c r="X2" s="195"/>
      <c r="Y2" s="195"/>
      <c r="Z2" s="195"/>
      <c r="AA2" s="195"/>
      <c r="AB2" s="195"/>
      <c r="AC2" s="196"/>
      <c r="AD2" s="15"/>
      <c r="AE2" s="14"/>
      <c r="AF2" s="13"/>
    </row>
    <row r="3" spans="2:32" ht="15.75" x14ac:dyDescent="0.25">
      <c r="B3" s="19"/>
      <c r="C3" s="17"/>
      <c r="D3" s="17"/>
      <c r="E3" s="17"/>
      <c r="F3" s="17"/>
      <c r="G3" s="17"/>
      <c r="H3" s="18"/>
      <c r="I3" s="17"/>
      <c r="J3" s="18"/>
      <c r="K3" s="17"/>
      <c r="L3" s="17"/>
      <c r="M3" s="75" t="s">
        <v>35</v>
      </c>
      <c r="N3" s="107">
        <v>7</v>
      </c>
      <c r="O3" s="37"/>
      <c r="P3" s="82" t="s">
        <v>32</v>
      </c>
      <c r="Q3" s="107">
        <v>4.67</v>
      </c>
      <c r="R3" s="37"/>
      <c r="S3" s="37" t="s">
        <v>42</v>
      </c>
      <c r="T3" s="37"/>
      <c r="U3" s="37"/>
      <c r="V3" s="37"/>
      <c r="W3" s="197" t="s">
        <v>25</v>
      </c>
      <c r="X3" s="197"/>
      <c r="Y3" s="197"/>
      <c r="Z3" s="197"/>
      <c r="AA3" s="197"/>
      <c r="AB3" s="197"/>
      <c r="AC3" s="86"/>
      <c r="AD3" s="18"/>
      <c r="AE3" s="17"/>
      <c r="AF3" s="21"/>
    </row>
    <row r="4" spans="2:32" ht="16.5" thickBot="1" x14ac:dyDescent="0.3">
      <c r="B4" s="12"/>
      <c r="C4" s="10"/>
      <c r="D4" s="10"/>
      <c r="E4" s="10"/>
      <c r="F4" s="10"/>
      <c r="G4" s="10"/>
      <c r="H4" s="11"/>
      <c r="I4" s="10"/>
      <c r="J4" s="11"/>
      <c r="K4" s="10"/>
      <c r="L4" s="10"/>
      <c r="M4" s="83" t="s">
        <v>39</v>
      </c>
      <c r="N4" s="109">
        <v>2807</v>
      </c>
      <c r="O4" s="39"/>
      <c r="P4" s="83" t="s">
        <v>33</v>
      </c>
      <c r="Q4" s="109">
        <v>130</v>
      </c>
      <c r="R4" s="39"/>
      <c r="S4" s="193" t="s">
        <v>120</v>
      </c>
      <c r="T4" s="194">
        <f>N2*5252/(Q4*Q3)</f>
        <v>12976.445396145609</v>
      </c>
      <c r="U4" s="39" t="s">
        <v>38</v>
      </c>
      <c r="V4" s="39"/>
      <c r="W4" s="198" t="s">
        <v>26</v>
      </c>
      <c r="X4" s="198"/>
      <c r="Y4" s="198"/>
      <c r="Z4" s="198"/>
      <c r="AA4" s="198"/>
      <c r="AB4" s="198"/>
      <c r="AC4" s="199"/>
      <c r="AD4" s="11"/>
      <c r="AE4" s="122" t="s">
        <v>45</v>
      </c>
      <c r="AF4" s="9"/>
    </row>
    <row r="5" spans="2:32" ht="6" customHeight="1" x14ac:dyDescent="0.25">
      <c r="B5" s="3"/>
      <c r="H5" s="3"/>
      <c r="J5" s="3"/>
      <c r="K5" s="3"/>
      <c r="L5" s="3"/>
      <c r="M5" s="3"/>
      <c r="N5" s="3"/>
      <c r="O5" s="3"/>
      <c r="AB5" s="8"/>
      <c r="AD5" s="3"/>
    </row>
    <row r="6" spans="2:32" ht="5.45" customHeight="1" thickBot="1" x14ac:dyDescent="0.3">
      <c r="B6" s="34"/>
      <c r="C6" s="23"/>
      <c r="D6" s="23"/>
      <c r="E6" s="23"/>
      <c r="F6" s="23"/>
      <c r="G6" s="23"/>
      <c r="H6" s="34"/>
      <c r="I6" s="23"/>
      <c r="J6" s="34"/>
      <c r="K6" s="34"/>
      <c r="L6" s="34"/>
      <c r="M6" s="34"/>
      <c r="N6" s="34"/>
      <c r="O6" s="34"/>
      <c r="P6" s="23"/>
      <c r="Q6" s="23"/>
      <c r="R6" s="23"/>
      <c r="S6" s="23"/>
      <c r="T6" s="23"/>
      <c r="U6" s="23"/>
      <c r="V6" s="51"/>
      <c r="W6" s="23"/>
      <c r="X6" s="23"/>
      <c r="Y6" s="23"/>
      <c r="Z6" s="23"/>
      <c r="AA6" s="23"/>
      <c r="AB6" s="23"/>
      <c r="AC6" s="23"/>
      <c r="AD6" s="34"/>
      <c r="AE6" s="23"/>
      <c r="AF6" s="23"/>
    </row>
    <row r="7" spans="2:32" ht="18.600000000000001" customHeight="1" thickBot="1" x14ac:dyDescent="0.3">
      <c r="B7" s="110" t="s">
        <v>119</v>
      </c>
      <c r="C7" s="111"/>
      <c r="D7" s="111"/>
      <c r="E7" s="111"/>
      <c r="F7" s="111"/>
      <c r="G7" s="111"/>
      <c r="H7" s="111"/>
      <c r="I7" s="111"/>
      <c r="J7" s="111"/>
      <c r="K7" s="112"/>
      <c r="L7" s="188" t="s">
        <v>118</v>
      </c>
      <c r="M7" s="189"/>
      <c r="N7" s="189"/>
      <c r="O7" s="189"/>
      <c r="P7" s="189"/>
      <c r="Q7" s="189"/>
      <c r="R7" s="189"/>
      <c r="S7" s="189"/>
      <c r="T7" s="189"/>
      <c r="U7" s="190"/>
      <c r="V7" s="123"/>
      <c r="Y7" s="1"/>
    </row>
    <row r="8" spans="2:32" ht="30" x14ac:dyDescent="0.25">
      <c r="B8" s="64" t="s">
        <v>11</v>
      </c>
      <c r="C8" s="65"/>
      <c r="D8" s="65"/>
      <c r="E8" s="65"/>
      <c r="F8" s="65"/>
      <c r="G8" s="66"/>
      <c r="H8" s="66"/>
      <c r="I8" s="66"/>
      <c r="J8" s="66"/>
      <c r="K8" s="162" t="s">
        <v>114</v>
      </c>
      <c r="L8" s="52" t="s">
        <v>7</v>
      </c>
      <c r="M8" s="46" t="s">
        <v>3</v>
      </c>
      <c r="N8" s="53" t="s">
        <v>22</v>
      </c>
      <c r="O8" s="46" t="s">
        <v>6</v>
      </c>
      <c r="P8" s="46" t="s">
        <v>8</v>
      </c>
      <c r="Q8" s="46" t="s">
        <v>0</v>
      </c>
      <c r="R8" s="46" t="s">
        <v>1</v>
      </c>
      <c r="S8" s="47" t="s">
        <v>27</v>
      </c>
      <c r="T8" s="47" t="s">
        <v>9</v>
      </c>
      <c r="U8" s="99" t="s">
        <v>10</v>
      </c>
      <c r="V8" s="59"/>
      <c r="W8" s="2"/>
      <c r="X8" s="200" t="s">
        <v>122</v>
      </c>
      <c r="Y8" s="201"/>
      <c r="Z8" s="201"/>
      <c r="AA8" s="201"/>
      <c r="AB8" s="201"/>
      <c r="AC8" s="201"/>
      <c r="AD8" s="201"/>
      <c r="AE8" s="201"/>
      <c r="AF8" s="202"/>
    </row>
    <row r="9" spans="2:32" x14ac:dyDescent="0.25">
      <c r="B9" s="69" t="s">
        <v>12</v>
      </c>
      <c r="C9" s="65"/>
      <c r="D9" s="65"/>
      <c r="E9" s="65"/>
      <c r="F9" s="65"/>
      <c r="G9" s="66"/>
      <c r="H9" s="66"/>
      <c r="I9" s="66"/>
      <c r="J9" s="66"/>
      <c r="K9" s="162"/>
      <c r="L9" s="52"/>
      <c r="M9" s="46"/>
      <c r="N9" s="53"/>
      <c r="O9" s="46"/>
      <c r="P9" s="46"/>
      <c r="Q9" s="46"/>
      <c r="R9" s="46"/>
      <c r="S9" s="47"/>
      <c r="T9" s="47"/>
      <c r="U9" s="99"/>
      <c r="V9" s="59"/>
      <c r="W9" s="2"/>
      <c r="X9" s="203"/>
      <c r="Y9" s="204"/>
      <c r="Z9" s="204"/>
      <c r="AA9" s="204"/>
      <c r="AB9" s="204"/>
      <c r="AC9" s="204"/>
      <c r="AD9" s="204"/>
      <c r="AE9" s="204"/>
      <c r="AF9" s="205"/>
    </row>
    <row r="10" spans="2:32" x14ac:dyDescent="0.25">
      <c r="B10" s="67" t="s">
        <v>23</v>
      </c>
      <c r="C10" s="68"/>
      <c r="D10" s="68"/>
      <c r="E10" s="68"/>
      <c r="F10" s="68"/>
      <c r="G10" s="68"/>
      <c r="H10" s="68"/>
      <c r="I10" s="68"/>
      <c r="J10" s="68"/>
      <c r="K10" s="191">
        <f>SUM(R10:R11)</f>
        <v>2440.9134839285716</v>
      </c>
      <c r="L10" s="60">
        <v>24000</v>
      </c>
      <c r="M10" s="29">
        <f>L10/6.894</f>
        <v>3481.2880765883378</v>
      </c>
      <c r="N10" s="4">
        <f>(P10^2*PI()/4)*M10</f>
        <v>68354.931540247897</v>
      </c>
      <c r="O10" s="36">
        <v>115</v>
      </c>
      <c r="P10" s="36">
        <v>5</v>
      </c>
      <c r="Q10" s="29">
        <f>((((P10/2*P10/2)*3.14*$Q$2)*3)/231)*O10</f>
        <v>322.41071428571428</v>
      </c>
      <c r="R10" s="29">
        <f>Q10*3.78541</f>
        <v>1220.4567419642858</v>
      </c>
      <c r="S10" s="40">
        <f>T10*(O10*$Q$3)/5252</f>
        <v>732.9182199845668</v>
      </c>
      <c r="T10" s="40">
        <f>(3.61*M10*Q10*0.95)/(O10*Q3)</f>
        <v>7167.4639071947595</v>
      </c>
      <c r="U10" s="100">
        <f>T10/$S$32</f>
        <v>0.55234416578547074</v>
      </c>
      <c r="V10" s="45"/>
      <c r="X10" s="203"/>
      <c r="Y10" s="204"/>
      <c r="Z10" s="204"/>
      <c r="AA10" s="204"/>
      <c r="AB10" s="204"/>
      <c r="AC10" s="204"/>
      <c r="AD10" s="204"/>
      <c r="AE10" s="204"/>
      <c r="AF10" s="205"/>
    </row>
    <row r="11" spans="2:32" ht="15.6" customHeight="1" x14ac:dyDescent="0.25">
      <c r="B11" s="67" t="s">
        <v>24</v>
      </c>
      <c r="C11" s="68"/>
      <c r="D11" s="68"/>
      <c r="E11" s="68"/>
      <c r="F11" s="68"/>
      <c r="G11" s="68"/>
      <c r="H11" s="68"/>
      <c r="I11" s="68"/>
      <c r="J11" s="68"/>
      <c r="K11" s="191"/>
      <c r="L11" s="60">
        <v>24000</v>
      </c>
      <c r="M11" s="29">
        <f t="shared" ref="M11:M27" si="0">L11/6.894</f>
        <v>3481.2880765883378</v>
      </c>
      <c r="N11" s="4">
        <f t="shared" ref="N11:N27" si="1">(P11^2*PI()/4)*M11</f>
        <v>68354.931540247897</v>
      </c>
      <c r="O11" s="36">
        <v>115</v>
      </c>
      <c r="P11" s="36">
        <v>5</v>
      </c>
      <c r="Q11" s="29">
        <f>((((P11/2*P11/2)*3.14*$Q$2)*3)/231)*O11</f>
        <v>322.41071428571428</v>
      </c>
      <c r="R11" s="29">
        <f>Q11*3.78541</f>
        <v>1220.4567419642858</v>
      </c>
      <c r="S11" s="40">
        <f>T11*(O11*$Q$3)/5252</f>
        <v>732.9182199845668</v>
      </c>
      <c r="T11" s="40">
        <f>(3.61*M11*Q11*0.95)/(O11*Q3)</f>
        <v>7167.4639071947595</v>
      </c>
      <c r="U11" s="100">
        <f>T11/$S$32</f>
        <v>0.55234416578547074</v>
      </c>
      <c r="V11" s="45"/>
      <c r="X11" s="203"/>
      <c r="Y11" s="204"/>
      <c r="Z11" s="204"/>
      <c r="AA11" s="204"/>
      <c r="AB11" s="204"/>
      <c r="AC11" s="204"/>
      <c r="AD11" s="204"/>
      <c r="AE11" s="204"/>
      <c r="AF11" s="205"/>
    </row>
    <row r="12" spans="2:32" ht="2.4500000000000002" customHeight="1" x14ac:dyDescent="0.25">
      <c r="B12" s="67"/>
      <c r="C12" s="68"/>
      <c r="D12" s="68"/>
      <c r="E12" s="68"/>
      <c r="F12" s="68"/>
      <c r="G12" s="68"/>
      <c r="H12" s="68"/>
      <c r="I12" s="68"/>
      <c r="J12" s="68"/>
      <c r="K12" s="161"/>
      <c r="L12" s="61"/>
      <c r="M12" s="42"/>
      <c r="N12" s="43"/>
      <c r="O12" s="41"/>
      <c r="P12" s="41"/>
      <c r="Q12" s="42"/>
      <c r="R12" s="42"/>
      <c r="S12" s="44"/>
      <c r="T12" s="44"/>
      <c r="U12" s="101"/>
      <c r="V12" s="45"/>
      <c r="X12" s="203"/>
      <c r="Y12" s="204"/>
      <c r="Z12" s="204"/>
      <c r="AA12" s="204"/>
      <c r="AB12" s="204"/>
      <c r="AC12" s="204"/>
      <c r="AD12" s="204"/>
      <c r="AE12" s="204"/>
      <c r="AF12" s="205"/>
    </row>
    <row r="13" spans="2:32" x14ac:dyDescent="0.25">
      <c r="B13" s="69" t="s">
        <v>121</v>
      </c>
      <c r="C13" s="68"/>
      <c r="D13" s="68"/>
      <c r="E13" s="68"/>
      <c r="F13" s="68"/>
      <c r="G13" s="68"/>
      <c r="H13" s="68"/>
      <c r="I13" s="68"/>
      <c r="J13" s="68"/>
      <c r="K13" s="161"/>
      <c r="L13" s="61"/>
      <c r="M13" s="42"/>
      <c r="N13" s="43"/>
      <c r="O13" s="41"/>
      <c r="P13" s="41"/>
      <c r="Q13" s="42"/>
      <c r="R13" s="42"/>
      <c r="S13" s="44"/>
      <c r="T13" s="44"/>
      <c r="U13" s="101"/>
      <c r="V13" s="45"/>
      <c r="X13" s="203"/>
      <c r="Y13" s="204"/>
      <c r="Z13" s="204"/>
      <c r="AA13" s="204"/>
      <c r="AB13" s="204"/>
      <c r="AC13" s="204"/>
      <c r="AD13" s="204"/>
      <c r="AE13" s="204"/>
      <c r="AF13" s="205"/>
    </row>
    <row r="14" spans="2:32" x14ac:dyDescent="0.25">
      <c r="B14" s="67" t="s">
        <v>23</v>
      </c>
      <c r="C14" s="68"/>
      <c r="D14" s="68"/>
      <c r="E14" s="68"/>
      <c r="F14" s="68"/>
      <c r="G14" s="68"/>
      <c r="H14" s="68"/>
      <c r="I14" s="68"/>
      <c r="J14" s="68"/>
      <c r="K14" s="191">
        <f>SUM(R14:R15)</f>
        <v>2228.6601375</v>
      </c>
      <c r="L14" s="60">
        <v>32000</v>
      </c>
      <c r="M14" s="29">
        <f t="shared" si="0"/>
        <v>4641.7174354511171</v>
      </c>
      <c r="N14" s="4">
        <f t="shared" si="1"/>
        <v>91139.908720330524</v>
      </c>
      <c r="O14" s="36">
        <v>105</v>
      </c>
      <c r="P14" s="36">
        <v>5</v>
      </c>
      <c r="Q14" s="29">
        <f>((((P14/2*P14/2)*3.14*11)*3)/231)*O14</f>
        <v>294.375</v>
      </c>
      <c r="R14" s="29">
        <f>Q14*3.78541</f>
        <v>1114.33006875</v>
      </c>
      <c r="S14" s="40">
        <f>T14*(O14*4.67)/5252</f>
        <v>892.24826780729893</v>
      </c>
      <c r="T14" s="40">
        <f>(3.61*M14*Q14*0.95)/(O14*Q3)</f>
        <v>9556.6185429263478</v>
      </c>
      <c r="U14" s="100">
        <f>T14/$S$32</f>
        <v>0.73645888771396117</v>
      </c>
      <c r="V14" s="45"/>
      <c r="X14" s="203"/>
      <c r="Y14" s="204"/>
      <c r="Z14" s="204"/>
      <c r="AA14" s="204"/>
      <c r="AB14" s="204"/>
      <c r="AC14" s="204"/>
      <c r="AD14" s="204"/>
      <c r="AE14" s="204"/>
      <c r="AF14" s="205"/>
    </row>
    <row r="15" spans="2:32" x14ac:dyDescent="0.25">
      <c r="B15" s="67" t="s">
        <v>24</v>
      </c>
      <c r="C15" s="68"/>
      <c r="D15" s="68"/>
      <c r="E15" s="68"/>
      <c r="F15" s="68"/>
      <c r="G15" s="68"/>
      <c r="H15" s="68"/>
      <c r="I15" s="68"/>
      <c r="J15" s="68"/>
      <c r="K15" s="191"/>
      <c r="L15" s="60">
        <v>32000</v>
      </c>
      <c r="M15" s="29">
        <f t="shared" si="0"/>
        <v>4641.7174354511171</v>
      </c>
      <c r="N15" s="4">
        <f t="shared" si="1"/>
        <v>91139.908720330524</v>
      </c>
      <c r="O15" s="36">
        <v>105</v>
      </c>
      <c r="P15" s="36">
        <v>5</v>
      </c>
      <c r="Q15" s="29">
        <f>((((P15/2*P15/2)*3.14*11)*3)/231)*O15</f>
        <v>294.375</v>
      </c>
      <c r="R15" s="29">
        <f>Q15*3.78541</f>
        <v>1114.33006875</v>
      </c>
      <c r="S15" s="40">
        <f>T15*(O15*4.67)/5252</f>
        <v>892.24826780729893</v>
      </c>
      <c r="T15" s="40">
        <f>(3.61*M15*Q15*0.95)/(O15*Q3)</f>
        <v>9556.6185429263478</v>
      </c>
      <c r="U15" s="100">
        <f>T15/$S$32</f>
        <v>0.73645888771396117</v>
      </c>
      <c r="V15" s="45"/>
      <c r="X15" s="203"/>
      <c r="Y15" s="204"/>
      <c r="Z15" s="204"/>
      <c r="AA15" s="204"/>
      <c r="AB15" s="204"/>
      <c r="AC15" s="204"/>
      <c r="AD15" s="204"/>
      <c r="AE15" s="204"/>
      <c r="AF15" s="205"/>
    </row>
    <row r="16" spans="2:32" ht="4.9000000000000004" customHeight="1" x14ac:dyDescent="0.25">
      <c r="B16" s="67"/>
      <c r="C16" s="68"/>
      <c r="D16" s="68"/>
      <c r="E16" s="68"/>
      <c r="F16" s="68"/>
      <c r="G16" s="68"/>
      <c r="H16" s="68"/>
      <c r="I16" s="68"/>
      <c r="J16" s="68"/>
      <c r="K16" s="161"/>
      <c r="L16" s="61"/>
      <c r="M16" s="42"/>
      <c r="N16" s="43"/>
      <c r="O16" s="41"/>
      <c r="P16" s="41"/>
      <c r="Q16" s="42"/>
      <c r="R16" s="42"/>
      <c r="S16" s="44"/>
      <c r="T16" s="44"/>
      <c r="U16" s="101"/>
      <c r="V16" s="45"/>
      <c r="X16" s="203"/>
      <c r="Y16" s="204"/>
      <c r="Z16" s="204"/>
      <c r="AA16" s="204"/>
      <c r="AB16" s="204"/>
      <c r="AC16" s="204"/>
      <c r="AD16" s="204"/>
      <c r="AE16" s="204"/>
      <c r="AF16" s="205"/>
    </row>
    <row r="17" spans="2:32" x14ac:dyDescent="0.25">
      <c r="B17" s="69" t="s">
        <v>117</v>
      </c>
      <c r="C17" s="68"/>
      <c r="D17" s="68"/>
      <c r="E17" s="68"/>
      <c r="F17" s="68"/>
      <c r="G17" s="68"/>
      <c r="H17" s="68"/>
      <c r="I17" s="68"/>
      <c r="J17" s="68"/>
      <c r="K17" s="161"/>
      <c r="L17" s="61"/>
      <c r="M17" s="42"/>
      <c r="N17" s="43"/>
      <c r="O17" s="41"/>
      <c r="P17" s="41"/>
      <c r="Q17" s="42"/>
      <c r="R17" s="42"/>
      <c r="S17" s="44"/>
      <c r="T17" s="44"/>
      <c r="U17" s="101"/>
      <c r="V17" s="45"/>
      <c r="X17" s="203"/>
      <c r="Y17" s="204"/>
      <c r="Z17" s="204"/>
      <c r="AA17" s="204"/>
      <c r="AB17" s="204"/>
      <c r="AC17" s="204"/>
      <c r="AD17" s="204"/>
      <c r="AE17" s="204"/>
      <c r="AF17" s="205"/>
    </row>
    <row r="18" spans="2:32" x14ac:dyDescent="0.25">
      <c r="B18" s="67" t="s">
        <v>23</v>
      </c>
      <c r="C18" s="68"/>
      <c r="D18" s="68"/>
      <c r="E18" s="68"/>
      <c r="F18" s="68"/>
      <c r="G18" s="68"/>
      <c r="H18" s="68"/>
      <c r="I18" s="68"/>
      <c r="J18" s="68"/>
      <c r="K18" s="191">
        <f>SUM(R18:R19)</f>
        <v>2228.6601375</v>
      </c>
      <c r="L18" s="60">
        <v>32000</v>
      </c>
      <c r="M18" s="29">
        <f t="shared" si="0"/>
        <v>4641.7174354511171</v>
      </c>
      <c r="N18" s="4">
        <f t="shared" si="1"/>
        <v>91139.908720330524</v>
      </c>
      <c r="O18" s="36">
        <v>105</v>
      </c>
      <c r="P18" s="36">
        <v>5</v>
      </c>
      <c r="Q18" s="29">
        <f>((((P18/2*P18/2)*3.14*$Q$2)*3)/231)*O18</f>
        <v>294.375</v>
      </c>
      <c r="R18" s="29">
        <f>Q18*3.78541</f>
        <v>1114.33006875</v>
      </c>
      <c r="S18" s="40">
        <f>T18*(O18*$Q$3)/5252</f>
        <v>892.24826780729893</v>
      </c>
      <c r="T18" s="40">
        <f>(3.61*M18*Q18*0.95)/(O18*$Q$3)</f>
        <v>9556.6185429263478</v>
      </c>
      <c r="U18" s="100">
        <f>T18/$S$32</f>
        <v>0.73645888771396117</v>
      </c>
      <c r="V18" s="45"/>
      <c r="X18" s="203"/>
      <c r="Y18" s="204"/>
      <c r="Z18" s="204"/>
      <c r="AA18" s="204"/>
      <c r="AB18" s="204"/>
      <c r="AC18" s="204"/>
      <c r="AD18" s="204"/>
      <c r="AE18" s="204"/>
      <c r="AF18" s="205"/>
    </row>
    <row r="19" spans="2:32" x14ac:dyDescent="0.25">
      <c r="B19" s="67" t="s">
        <v>24</v>
      </c>
      <c r="C19" s="68"/>
      <c r="D19" s="68"/>
      <c r="E19" s="68"/>
      <c r="F19" s="68"/>
      <c r="G19" s="68"/>
      <c r="H19" s="68"/>
      <c r="I19" s="68"/>
      <c r="J19" s="68"/>
      <c r="K19" s="191"/>
      <c r="L19" s="60">
        <v>32000</v>
      </c>
      <c r="M19" s="29">
        <f t="shared" si="0"/>
        <v>4641.7174354511171</v>
      </c>
      <c r="N19" s="4">
        <f t="shared" si="1"/>
        <v>91139.908720330524</v>
      </c>
      <c r="O19" s="36">
        <v>105</v>
      </c>
      <c r="P19" s="36">
        <v>5</v>
      </c>
      <c r="Q19" s="29">
        <f>((((P19/2*P19/2)*3.14*$Q$2)*3)/231)*O19</f>
        <v>294.375</v>
      </c>
      <c r="R19" s="29">
        <f>Q19*3.78541</f>
        <v>1114.33006875</v>
      </c>
      <c r="S19" s="40">
        <f>T19*(O19*$Q$3)/5252</f>
        <v>892.24826780729893</v>
      </c>
      <c r="T19" s="40">
        <f>(3.61*M19*Q19*0.95)/(O19*$Q$3)</f>
        <v>9556.6185429263478</v>
      </c>
      <c r="U19" s="100">
        <f>T19/$S$32</f>
        <v>0.73645888771396117</v>
      </c>
      <c r="V19" s="45"/>
      <c r="X19" s="203"/>
      <c r="Y19" s="204"/>
      <c r="Z19" s="204"/>
      <c r="AA19" s="204"/>
      <c r="AB19" s="204"/>
      <c r="AC19" s="204"/>
      <c r="AD19" s="204"/>
      <c r="AE19" s="204"/>
      <c r="AF19" s="205"/>
    </row>
    <row r="20" spans="2:32" ht="3" customHeight="1" x14ac:dyDescent="0.25">
      <c r="B20" s="67"/>
      <c r="C20" s="68"/>
      <c r="D20" s="68"/>
      <c r="E20" s="68"/>
      <c r="F20" s="68"/>
      <c r="G20" s="68"/>
      <c r="H20" s="68"/>
      <c r="I20" s="68"/>
      <c r="J20" s="68"/>
      <c r="K20" s="161"/>
      <c r="L20" s="61"/>
      <c r="M20" s="42"/>
      <c r="N20" s="43"/>
      <c r="O20" s="41"/>
      <c r="P20" s="41"/>
      <c r="Q20" s="42"/>
      <c r="R20" s="42"/>
      <c r="S20" s="44"/>
      <c r="T20" s="44"/>
      <c r="U20" s="101"/>
      <c r="V20" s="45"/>
      <c r="X20" s="203"/>
      <c r="Y20" s="204"/>
      <c r="Z20" s="204"/>
      <c r="AA20" s="204"/>
      <c r="AB20" s="204"/>
      <c r="AC20" s="204"/>
      <c r="AD20" s="204"/>
      <c r="AE20" s="204"/>
      <c r="AF20" s="205"/>
    </row>
    <row r="21" spans="2:32" s="2" customFormat="1" x14ac:dyDescent="0.25">
      <c r="B21" s="69" t="s">
        <v>116</v>
      </c>
      <c r="C21" s="68"/>
      <c r="D21" s="68"/>
      <c r="E21" s="68"/>
      <c r="F21" s="68"/>
      <c r="G21" s="68"/>
      <c r="H21" s="68"/>
      <c r="I21" s="68"/>
      <c r="J21" s="68"/>
      <c r="K21" s="161"/>
      <c r="L21" s="61"/>
      <c r="M21" s="42"/>
      <c r="N21" s="43"/>
      <c r="O21" s="41"/>
      <c r="P21" s="41"/>
      <c r="Q21" s="42"/>
      <c r="R21" s="42"/>
      <c r="S21" s="44"/>
      <c r="T21" s="44"/>
      <c r="U21" s="101"/>
      <c r="V21" s="45"/>
      <c r="W21"/>
      <c r="X21" s="203"/>
      <c r="Y21" s="204"/>
      <c r="Z21" s="204"/>
      <c r="AA21" s="204"/>
      <c r="AB21" s="204"/>
      <c r="AC21" s="204"/>
      <c r="AD21" s="204"/>
      <c r="AE21" s="204"/>
      <c r="AF21" s="205"/>
    </row>
    <row r="22" spans="2:32" x14ac:dyDescent="0.25">
      <c r="B22" s="67" t="s">
        <v>23</v>
      </c>
      <c r="C22" s="68"/>
      <c r="D22" s="68"/>
      <c r="E22" s="68"/>
      <c r="F22" s="68"/>
      <c r="G22" s="68"/>
      <c r="H22" s="68"/>
      <c r="I22" s="68"/>
      <c r="J22" s="68"/>
      <c r="K22" s="191">
        <f>SUM(R22:R23)</f>
        <v>2228.6601375</v>
      </c>
      <c r="L22" s="60">
        <v>34000</v>
      </c>
      <c r="M22" s="29">
        <f t="shared" si="0"/>
        <v>4931.8247751668114</v>
      </c>
      <c r="N22" s="4">
        <f t="shared" si="1"/>
        <v>96836.153015351185</v>
      </c>
      <c r="O22" s="36">
        <v>105</v>
      </c>
      <c r="P22" s="36">
        <v>5</v>
      </c>
      <c r="Q22" s="29">
        <f>((((P22/2*P22/2)*3.14*$Q$2)*3)/231)*O22</f>
        <v>294.375</v>
      </c>
      <c r="R22" s="29">
        <f>Q22*3.78541</f>
        <v>1114.33006875</v>
      </c>
      <c r="S22" s="40">
        <f>T22*(O22*$Q$3)/5252</f>
        <v>948.01378454525491</v>
      </c>
      <c r="T22" s="40">
        <f>(3.61*M22*Q22*0.95)/(O22*$Q$3)</f>
        <v>10153.907201859241</v>
      </c>
      <c r="U22" s="100">
        <f>T22/$S$32</f>
        <v>0.78248756819608356</v>
      </c>
      <c r="V22" s="45"/>
      <c r="X22" s="203"/>
      <c r="Y22" s="204"/>
      <c r="Z22" s="204"/>
      <c r="AA22" s="204"/>
      <c r="AB22" s="204"/>
      <c r="AC22" s="204"/>
      <c r="AD22" s="204"/>
      <c r="AE22" s="204"/>
      <c r="AF22" s="205"/>
    </row>
    <row r="23" spans="2:32" x14ac:dyDescent="0.25">
      <c r="B23" s="67" t="s">
        <v>24</v>
      </c>
      <c r="C23" s="68"/>
      <c r="D23" s="68"/>
      <c r="E23" s="68"/>
      <c r="F23" s="68"/>
      <c r="G23" s="68"/>
      <c r="H23" s="68"/>
      <c r="I23" s="68"/>
      <c r="J23" s="68"/>
      <c r="K23" s="191"/>
      <c r="L23" s="60">
        <v>34000</v>
      </c>
      <c r="M23" s="29">
        <f t="shared" si="0"/>
        <v>4931.8247751668114</v>
      </c>
      <c r="N23" s="4">
        <f t="shared" si="1"/>
        <v>96836.153015351185</v>
      </c>
      <c r="O23" s="36">
        <v>105</v>
      </c>
      <c r="P23" s="36">
        <v>5</v>
      </c>
      <c r="Q23" s="29">
        <f>((((P23/2*P23/2)*3.14*$Q$2)*3)/231)*O23</f>
        <v>294.375</v>
      </c>
      <c r="R23" s="29">
        <f>Q23*3.78541</f>
        <v>1114.33006875</v>
      </c>
      <c r="S23" s="40">
        <f>T23*(O23*$Q$3)/5252</f>
        <v>948.01378454525491</v>
      </c>
      <c r="T23" s="40">
        <f>(3.61*M23*Q23*0.95)/(O23*$Q$3)</f>
        <v>10153.907201859241</v>
      </c>
      <c r="U23" s="100">
        <f>T23/$S$32</f>
        <v>0.78248756819608356</v>
      </c>
      <c r="V23" s="45"/>
      <c r="X23" s="203"/>
      <c r="Y23" s="204"/>
      <c r="Z23" s="204"/>
      <c r="AA23" s="204"/>
      <c r="AB23" s="204"/>
      <c r="AC23" s="204"/>
      <c r="AD23" s="204"/>
      <c r="AE23" s="204"/>
      <c r="AF23" s="205"/>
    </row>
    <row r="24" spans="2:32" ht="6.6" customHeight="1" x14ac:dyDescent="0.25">
      <c r="B24" s="67"/>
      <c r="C24" s="68"/>
      <c r="D24" s="68"/>
      <c r="E24" s="68"/>
      <c r="F24" s="68"/>
      <c r="G24" s="68"/>
      <c r="H24" s="68"/>
      <c r="I24" s="68"/>
      <c r="J24" s="68"/>
      <c r="K24" s="161"/>
      <c r="L24" s="61"/>
      <c r="M24" s="42"/>
      <c r="N24" s="43"/>
      <c r="O24" s="41"/>
      <c r="P24" s="41"/>
      <c r="Q24" s="42"/>
      <c r="R24" s="42"/>
      <c r="S24" s="44"/>
      <c r="T24" s="44"/>
      <c r="U24" s="101"/>
      <c r="V24" s="45"/>
      <c r="X24" s="203"/>
      <c r="Y24" s="204"/>
      <c r="Z24" s="204"/>
      <c r="AA24" s="204"/>
      <c r="AB24" s="204"/>
      <c r="AC24" s="204"/>
      <c r="AD24" s="204"/>
      <c r="AE24" s="204"/>
      <c r="AF24" s="205"/>
    </row>
    <row r="25" spans="2:32" x14ac:dyDescent="0.25">
      <c r="B25" s="69" t="s">
        <v>115</v>
      </c>
      <c r="C25" s="68"/>
      <c r="D25" s="68"/>
      <c r="E25" s="68"/>
      <c r="F25" s="68"/>
      <c r="G25" s="68"/>
      <c r="H25" s="68"/>
      <c r="I25" s="68"/>
      <c r="J25" s="68"/>
      <c r="K25" s="161"/>
      <c r="L25" s="61"/>
      <c r="M25" s="42"/>
      <c r="N25" s="43"/>
      <c r="O25" s="41"/>
      <c r="P25" s="41"/>
      <c r="Q25" s="42"/>
      <c r="R25" s="42"/>
      <c r="S25" s="44"/>
      <c r="T25" s="44"/>
      <c r="U25" s="101"/>
      <c r="V25" s="45"/>
      <c r="X25" s="203"/>
      <c r="Y25" s="204"/>
      <c r="Z25" s="204"/>
      <c r="AA25" s="204"/>
      <c r="AB25" s="204"/>
      <c r="AC25" s="204"/>
      <c r="AD25" s="204"/>
      <c r="AE25" s="204"/>
      <c r="AF25" s="205"/>
    </row>
    <row r="26" spans="2:32" ht="15.75" thickBot="1" x14ac:dyDescent="0.3">
      <c r="B26" s="70" t="s">
        <v>23</v>
      </c>
      <c r="C26" s="68"/>
      <c r="D26" s="68"/>
      <c r="E26" s="68"/>
      <c r="F26" s="68"/>
      <c r="G26" s="68"/>
      <c r="H26" s="68"/>
      <c r="I26" s="68"/>
      <c r="J26" s="68"/>
      <c r="K26" s="191">
        <f>SUM(R26:R27)</f>
        <v>1375.4016848571432</v>
      </c>
      <c r="L26" s="60">
        <v>48000</v>
      </c>
      <c r="M26" s="29">
        <f t="shared" si="0"/>
        <v>6962.5761531766757</v>
      </c>
      <c r="N26" s="4">
        <f t="shared" si="1"/>
        <v>110734.98909520158</v>
      </c>
      <c r="O26" s="36">
        <v>80</v>
      </c>
      <c r="P26" s="36">
        <v>4.5</v>
      </c>
      <c r="Q26" s="29">
        <f>((((P26/2*P26/2)*3.14*$Q$2)*3)/231)*O26</f>
        <v>181.67142857142861</v>
      </c>
      <c r="R26" s="29">
        <f>Q26*3.78541</f>
        <v>687.7008424285716</v>
      </c>
      <c r="S26" s="40">
        <f>T26*(O26*$Q$3)/5252</f>
        <v>825.96696791304248</v>
      </c>
      <c r="T26" s="40">
        <f>(3.61*M26*Q26*0.95)/(O26*$Q$3)</f>
        <v>11611.291529655511</v>
      </c>
      <c r="U26" s="100">
        <f>T26/$S$32</f>
        <v>0.89479754857246274</v>
      </c>
      <c r="V26" s="45"/>
      <c r="X26" s="206"/>
      <c r="Y26" s="207"/>
      <c r="Z26" s="207"/>
      <c r="AA26" s="207"/>
      <c r="AB26" s="207"/>
      <c r="AC26" s="207"/>
      <c r="AD26" s="207"/>
      <c r="AE26" s="207"/>
      <c r="AF26" s="208"/>
    </row>
    <row r="27" spans="2:32" ht="15.75" thickBot="1" x14ac:dyDescent="0.3">
      <c r="B27" s="71" t="s">
        <v>24</v>
      </c>
      <c r="C27" s="10"/>
      <c r="D27" s="10"/>
      <c r="E27" s="10"/>
      <c r="F27" s="10"/>
      <c r="G27" s="10"/>
      <c r="H27" s="10"/>
      <c r="I27" s="10"/>
      <c r="J27" s="10"/>
      <c r="K27" s="192"/>
      <c r="L27" s="62">
        <v>48000</v>
      </c>
      <c r="M27" s="56">
        <f t="shared" si="0"/>
        <v>6962.5761531766757</v>
      </c>
      <c r="N27" s="57">
        <f t="shared" si="1"/>
        <v>110734.98909520158</v>
      </c>
      <c r="O27" s="63">
        <v>80</v>
      </c>
      <c r="P27" s="63">
        <v>4.5</v>
      </c>
      <c r="Q27" s="56">
        <f>((((P27/2*P27/2)*3.14*$Q$2)*3)/231)*O27</f>
        <v>181.67142857142861</v>
      </c>
      <c r="R27" s="29">
        <f>Q27*3.78541</f>
        <v>687.7008424285716</v>
      </c>
      <c r="S27" s="58">
        <f>T27*(O27*$Q$3)/5252</f>
        <v>825.96696791304248</v>
      </c>
      <c r="T27" s="58">
        <f>(3.61*M27*Q27*0.95)/(O27*$Q$3)</f>
        <v>11611.291529655511</v>
      </c>
      <c r="U27" s="124">
        <f>T27/$S$32</f>
        <v>0.89479754857246274</v>
      </c>
      <c r="V27" s="125"/>
    </row>
    <row r="28" spans="2:32" ht="4.9000000000000004" customHeight="1" thickBot="1" x14ac:dyDescent="0.3"/>
    <row r="29" spans="2:32" ht="16.5" thickBot="1" x14ac:dyDescent="0.3">
      <c r="B29" s="117" t="s">
        <v>41</v>
      </c>
      <c r="C29" s="118"/>
      <c r="D29" s="118"/>
      <c r="E29" s="118"/>
      <c r="F29" s="118"/>
      <c r="G29" s="118"/>
      <c r="H29" s="119"/>
      <c r="I29" s="118"/>
      <c r="J29" s="120"/>
      <c r="K29" s="15"/>
      <c r="L29" s="15"/>
      <c r="M29" s="15"/>
      <c r="N29" s="15"/>
      <c r="O29" s="15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6"/>
      <c r="AC29" s="14"/>
      <c r="AD29" s="15"/>
      <c r="AE29" s="14"/>
      <c r="AF29" s="13"/>
    </row>
    <row r="30" spans="2:32" ht="15.75" thickBot="1" x14ac:dyDescent="0.3">
      <c r="B30" s="84"/>
      <c r="C30" s="17"/>
      <c r="D30" s="17"/>
      <c r="E30" s="17"/>
      <c r="F30" s="17"/>
      <c r="G30" s="17"/>
      <c r="H30" s="18"/>
      <c r="I30" s="17"/>
      <c r="J30" s="18"/>
      <c r="K30" s="18"/>
      <c r="L30" s="18"/>
      <c r="M30" s="18"/>
      <c r="N30" s="18"/>
      <c r="O30" s="18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20"/>
      <c r="AC30" s="17"/>
      <c r="AD30" s="18"/>
      <c r="AE30" s="17"/>
      <c r="AF30" s="21"/>
    </row>
    <row r="31" spans="2:32" ht="15.75" thickBot="1" x14ac:dyDescent="0.3">
      <c r="B31" s="7" t="s">
        <v>6</v>
      </c>
      <c r="C31" s="85"/>
      <c r="D31" s="85"/>
      <c r="E31" s="85"/>
      <c r="F31" s="85"/>
      <c r="G31" s="85"/>
      <c r="H31" s="121">
        <v>130</v>
      </c>
      <c r="I31" s="85"/>
      <c r="J31" s="105" t="s">
        <v>46</v>
      </c>
      <c r="K31" s="86"/>
      <c r="L31" s="86"/>
      <c r="M31" s="86"/>
      <c r="N31" s="106"/>
      <c r="O31" s="86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21"/>
    </row>
    <row r="32" spans="2:32" ht="13.9" customHeight="1" thickBot="1" x14ac:dyDescent="0.3">
      <c r="B32" s="6" t="s">
        <v>4</v>
      </c>
      <c r="C32" s="17"/>
      <c r="D32" s="17"/>
      <c r="E32" s="17"/>
      <c r="F32" s="17"/>
      <c r="G32" s="17"/>
      <c r="H32" s="5">
        <f>H31/Q4</f>
        <v>1</v>
      </c>
      <c r="I32" s="17"/>
      <c r="J32" s="17"/>
      <c r="K32" s="17"/>
      <c r="L32" s="78"/>
      <c r="M32" s="76" t="s">
        <v>36</v>
      </c>
      <c r="N32" s="76"/>
      <c r="O32" s="76"/>
      <c r="P32" s="77"/>
      <c r="Q32" s="77"/>
      <c r="R32" s="77" t="s">
        <v>37</v>
      </c>
      <c r="S32" s="160">
        <f>N2*5252/(Q4*Q3)</f>
        <v>12976.445396145609</v>
      </c>
      <c r="T32" s="79" t="s">
        <v>38</v>
      </c>
      <c r="U32" s="80"/>
      <c r="V32" s="48"/>
      <c r="W32" s="180" t="s">
        <v>5</v>
      </c>
      <c r="X32" s="181"/>
      <c r="Y32" s="181"/>
      <c r="Z32" s="181"/>
      <c r="AA32" s="181"/>
      <c r="AB32" s="181"/>
      <c r="AC32" s="181"/>
      <c r="AD32" s="181"/>
      <c r="AE32" s="181"/>
      <c r="AF32" s="182"/>
    </row>
    <row r="33" spans="2:32" x14ac:dyDescent="0.25">
      <c r="B33" s="183" t="s">
        <v>2</v>
      </c>
      <c r="C33" s="25"/>
      <c r="D33" s="26"/>
      <c r="E33" s="26"/>
      <c r="F33" s="26"/>
      <c r="G33" s="26"/>
      <c r="H33" s="185" t="s">
        <v>1</v>
      </c>
      <c r="I33" s="87"/>
      <c r="J33" s="187" t="s">
        <v>0</v>
      </c>
      <c r="K33" s="24" t="s">
        <v>3</v>
      </c>
      <c r="L33" s="27">
        <f>W33</f>
        <v>2000</v>
      </c>
      <c r="M33" s="27">
        <f t="shared" ref="M33:U33" si="2">X33</f>
        <v>3000</v>
      </c>
      <c r="N33" s="27">
        <f t="shared" si="2"/>
        <v>4000</v>
      </c>
      <c r="O33" s="27">
        <f t="shared" si="2"/>
        <v>4500</v>
      </c>
      <c r="P33" s="27">
        <f t="shared" si="2"/>
        <v>5000</v>
      </c>
      <c r="Q33" s="27">
        <f t="shared" si="2"/>
        <v>5500</v>
      </c>
      <c r="R33" s="27">
        <f t="shared" si="2"/>
        <v>6000</v>
      </c>
      <c r="S33" s="27">
        <f t="shared" si="2"/>
        <v>6500</v>
      </c>
      <c r="T33" s="27">
        <f t="shared" si="2"/>
        <v>7000</v>
      </c>
      <c r="U33" s="27">
        <f t="shared" si="2"/>
        <v>7500</v>
      </c>
      <c r="V33" s="49"/>
      <c r="W33" s="27">
        <v>2000</v>
      </c>
      <c r="X33" s="27">
        <v>3000</v>
      </c>
      <c r="Y33" s="27">
        <v>4000</v>
      </c>
      <c r="Z33" s="27">
        <v>4500</v>
      </c>
      <c r="AA33" s="27">
        <v>5000</v>
      </c>
      <c r="AB33" s="27">
        <v>5500</v>
      </c>
      <c r="AC33" s="27">
        <v>6000</v>
      </c>
      <c r="AD33" s="27">
        <v>6500</v>
      </c>
      <c r="AE33" s="27">
        <v>7000</v>
      </c>
      <c r="AF33" s="88">
        <v>7500</v>
      </c>
    </row>
    <row r="34" spans="2:32" x14ac:dyDescent="0.25">
      <c r="B34" s="184"/>
      <c r="C34" s="25"/>
      <c r="D34" s="28"/>
      <c r="E34" s="28"/>
      <c r="F34" s="28"/>
      <c r="G34" s="28"/>
      <c r="H34" s="186"/>
      <c r="I34" s="87"/>
      <c r="J34" s="187"/>
      <c r="K34" s="24" t="s">
        <v>7</v>
      </c>
      <c r="L34" s="72">
        <f>L33*6.894</f>
        <v>13788</v>
      </c>
      <c r="M34" s="72">
        <f t="shared" ref="M34:U34" si="3">M33*6.894</f>
        <v>20682</v>
      </c>
      <c r="N34" s="72">
        <f t="shared" si="3"/>
        <v>27576</v>
      </c>
      <c r="O34" s="72">
        <f t="shared" si="3"/>
        <v>31023</v>
      </c>
      <c r="P34" s="72">
        <f t="shared" si="3"/>
        <v>34470</v>
      </c>
      <c r="Q34" s="72">
        <f t="shared" si="3"/>
        <v>37917</v>
      </c>
      <c r="R34" s="72">
        <f t="shared" si="3"/>
        <v>41364</v>
      </c>
      <c r="S34" s="72">
        <f t="shared" si="3"/>
        <v>44811</v>
      </c>
      <c r="T34" s="72">
        <f t="shared" si="3"/>
        <v>48258</v>
      </c>
      <c r="U34" s="72">
        <f t="shared" si="3"/>
        <v>51705</v>
      </c>
      <c r="V34" s="73"/>
      <c r="W34" s="72">
        <f>W33*6.894</f>
        <v>13788</v>
      </c>
      <c r="X34" s="72">
        <f t="shared" ref="X34:AF34" si="4">X33*6.894</f>
        <v>20682</v>
      </c>
      <c r="Y34" s="72">
        <f t="shared" si="4"/>
        <v>27576</v>
      </c>
      <c r="Z34" s="72">
        <f t="shared" si="4"/>
        <v>31023</v>
      </c>
      <c r="AA34" s="72">
        <f t="shared" si="4"/>
        <v>34470</v>
      </c>
      <c r="AB34" s="72">
        <f t="shared" si="4"/>
        <v>37917</v>
      </c>
      <c r="AC34" s="72">
        <f t="shared" si="4"/>
        <v>41364</v>
      </c>
      <c r="AD34" s="72">
        <f t="shared" si="4"/>
        <v>44811</v>
      </c>
      <c r="AE34" s="72">
        <f t="shared" si="4"/>
        <v>48258</v>
      </c>
      <c r="AF34" s="89">
        <f t="shared" si="4"/>
        <v>51705</v>
      </c>
    </row>
    <row r="35" spans="2:32" x14ac:dyDescent="0.25">
      <c r="B35" s="54">
        <v>4</v>
      </c>
      <c r="C35" s="30">
        <v>2</v>
      </c>
      <c r="D35" s="30"/>
      <c r="E35" s="30"/>
      <c r="F35" s="30"/>
      <c r="G35" s="30"/>
      <c r="H35" s="35">
        <f>J35*3.78541</f>
        <v>882.97392114285719</v>
      </c>
      <c r="I35" s="90">
        <f t="shared" ref="I35:I40" si="5">((((C35*C35)*3.14*$Q$2)*3)/231)*$H$31</f>
        <v>233.25714285714287</v>
      </c>
      <c r="J35" s="102">
        <f t="shared" ref="J35:J40" si="6">I35</f>
        <v>233.25714285714287</v>
      </c>
      <c r="K35" s="33"/>
      <c r="L35" s="31">
        <f t="shared" ref="L35:L40" si="7">(3.61*$W$33*0.95*$J35)/($H$31*$Q$3)</f>
        <v>2635.3331293973692</v>
      </c>
      <c r="M35" s="31">
        <f t="shared" ref="M35:M40" si="8">(3.61*$X$33*0.95*$J35)/($H$31*$Q$3)</f>
        <v>3952.9996940960541</v>
      </c>
      <c r="N35" s="31">
        <f t="shared" ref="N35:N40" si="9">(3.61*$Y$33*0.95*$J35)/($H$31*$Q$3)</f>
        <v>5270.6662587947385</v>
      </c>
      <c r="O35" s="31">
        <f t="shared" ref="O35:O40" si="10">(3.61*$Z$33*0.95*$J35)/($H$31*$Q$3)</f>
        <v>5929.4995411440805</v>
      </c>
      <c r="P35" s="31">
        <f t="shared" ref="P35:P40" si="11">(3.61*$AA$33*0.95*$J35)/($H$31*$Q$3)</f>
        <v>6588.3328234934233</v>
      </c>
      <c r="Q35" s="31">
        <f t="shared" ref="Q35:Q40" si="12">(3.61*$AB$33*0.95*$J35)/($H$31*$Q$3)</f>
        <v>7247.1661058427653</v>
      </c>
      <c r="R35" s="31">
        <f t="shared" ref="R35:R40" si="13">(3.61*$AC$33*0.95*$J35)/($H$31*$Q$3)</f>
        <v>7905.9993881921082</v>
      </c>
      <c r="S35" s="31">
        <f t="shared" ref="S35:S40" si="14">(3.61*$AD$33*0.95*$J35)/($H$31*$Q$3)</f>
        <v>8564.8326705414511</v>
      </c>
      <c r="T35" s="31">
        <f t="shared" ref="T35:T40" si="15">(3.61*$AE$33*0.95*$J35)/($H$31*$Q$3)</f>
        <v>9223.6659528907931</v>
      </c>
      <c r="U35" s="31">
        <f t="shared" ref="U35:U40" si="16">(3.61*$AF$33*0.95*$J35)/($H$31*$Q$3)</f>
        <v>9882.499235240135</v>
      </c>
      <c r="V35" s="50"/>
      <c r="W35" s="32">
        <f t="shared" ref="W35:AF40" si="17">($H$31*$Q$3)*L35/5252</f>
        <v>304.62885431400281</v>
      </c>
      <c r="X35" s="32">
        <f t="shared" si="17"/>
        <v>456.9432814710043</v>
      </c>
      <c r="Y35" s="32">
        <f t="shared" si="17"/>
        <v>609.25770862800562</v>
      </c>
      <c r="Z35" s="32">
        <f t="shared" si="17"/>
        <v>685.41492220650639</v>
      </c>
      <c r="AA35" s="32">
        <f t="shared" si="17"/>
        <v>761.57213578500705</v>
      </c>
      <c r="AB35" s="32">
        <f t="shared" si="17"/>
        <v>837.72934936350782</v>
      </c>
      <c r="AC35" s="32">
        <f t="shared" si="17"/>
        <v>913.8865629420086</v>
      </c>
      <c r="AD35" s="32">
        <f t="shared" si="17"/>
        <v>990.04377652050925</v>
      </c>
      <c r="AE35" s="32">
        <f t="shared" si="17"/>
        <v>1066.2009900990099</v>
      </c>
      <c r="AF35" s="91">
        <f t="shared" si="17"/>
        <v>1142.3582036775108</v>
      </c>
    </row>
    <row r="36" spans="2:32" x14ac:dyDescent="0.25">
      <c r="B36" s="54">
        <f>C36*2</f>
        <v>4.5</v>
      </c>
      <c r="C36" s="30">
        <v>2.25</v>
      </c>
      <c r="D36" s="30"/>
      <c r="E36" s="30"/>
      <c r="F36" s="30"/>
      <c r="G36" s="30"/>
      <c r="H36" s="35">
        <f t="shared" ref="H36:H40" si="18">J36*3.78541</f>
        <v>1117.5138689464288</v>
      </c>
      <c r="I36" s="90">
        <f t="shared" si="5"/>
        <v>295.21607142857147</v>
      </c>
      <c r="J36" s="102">
        <f t="shared" si="6"/>
        <v>295.21607142857147</v>
      </c>
      <c r="K36" s="33"/>
      <c r="L36" s="31">
        <f t="shared" si="7"/>
        <v>3335.3434918935459</v>
      </c>
      <c r="M36" s="31">
        <f t="shared" si="8"/>
        <v>5003.0152378403182</v>
      </c>
      <c r="N36" s="31">
        <f t="shared" si="9"/>
        <v>6670.6869837870918</v>
      </c>
      <c r="O36" s="31">
        <f t="shared" si="10"/>
        <v>7504.522856760479</v>
      </c>
      <c r="P36" s="31">
        <f t="shared" si="11"/>
        <v>8338.3587297338636</v>
      </c>
      <c r="Q36" s="31">
        <f t="shared" si="12"/>
        <v>9172.1946027072518</v>
      </c>
      <c r="R36" s="31">
        <f t="shared" si="13"/>
        <v>10006.030475680636</v>
      </c>
      <c r="S36" s="31">
        <f t="shared" si="14"/>
        <v>10839.866348654024</v>
      </c>
      <c r="T36" s="31">
        <f t="shared" si="15"/>
        <v>11673.702221627411</v>
      </c>
      <c r="U36" s="31">
        <f t="shared" si="16"/>
        <v>12507.538094600795</v>
      </c>
      <c r="V36" s="50"/>
      <c r="W36" s="32">
        <f t="shared" si="17"/>
        <v>385.54589374115989</v>
      </c>
      <c r="X36" s="32">
        <f t="shared" si="17"/>
        <v>578.3188406117398</v>
      </c>
      <c r="Y36" s="32">
        <f t="shared" si="17"/>
        <v>771.09178748231977</v>
      </c>
      <c r="Z36" s="32">
        <f t="shared" si="17"/>
        <v>867.47826091760976</v>
      </c>
      <c r="AA36" s="32">
        <f t="shared" si="17"/>
        <v>963.86473435289963</v>
      </c>
      <c r="AB36" s="32">
        <f t="shared" si="17"/>
        <v>1060.2512077881897</v>
      </c>
      <c r="AC36" s="32">
        <f t="shared" si="17"/>
        <v>1156.6376812234796</v>
      </c>
      <c r="AD36" s="32">
        <f t="shared" si="17"/>
        <v>1253.0241546587697</v>
      </c>
      <c r="AE36" s="32">
        <f t="shared" si="17"/>
        <v>1349.4106280940596</v>
      </c>
      <c r="AF36" s="91">
        <f t="shared" si="17"/>
        <v>1445.7971015293494</v>
      </c>
    </row>
    <row r="37" spans="2:32" x14ac:dyDescent="0.25">
      <c r="B37" s="54">
        <f>C37*2</f>
        <v>5</v>
      </c>
      <c r="C37" s="30">
        <v>2.5</v>
      </c>
      <c r="D37" s="30"/>
      <c r="E37" s="30"/>
      <c r="F37" s="30"/>
      <c r="G37" s="30"/>
      <c r="H37" s="35">
        <f t="shared" si="18"/>
        <v>1379.6467517857141</v>
      </c>
      <c r="I37" s="90">
        <f t="shared" si="5"/>
        <v>364.46428571428567</v>
      </c>
      <c r="J37" s="102">
        <f t="shared" si="6"/>
        <v>364.46428571428567</v>
      </c>
      <c r="K37" s="33"/>
      <c r="L37" s="31">
        <f t="shared" si="7"/>
        <v>4117.7080146833887</v>
      </c>
      <c r="M37" s="31">
        <f t="shared" si="8"/>
        <v>6176.562022025083</v>
      </c>
      <c r="N37" s="31">
        <f t="shared" si="9"/>
        <v>8235.4160293667774</v>
      </c>
      <c r="O37" s="31">
        <f t="shared" si="10"/>
        <v>9264.843033037625</v>
      </c>
      <c r="P37" s="31">
        <f t="shared" si="11"/>
        <v>10294.270036708473</v>
      </c>
      <c r="Q37" s="31">
        <f t="shared" si="12"/>
        <v>11323.697040379318</v>
      </c>
      <c r="R37" s="31">
        <f t="shared" si="13"/>
        <v>12353.124044050166</v>
      </c>
      <c r="S37" s="31">
        <f t="shared" si="14"/>
        <v>13382.551047721014</v>
      </c>
      <c r="T37" s="31">
        <f t="shared" si="15"/>
        <v>14411.978051391859</v>
      </c>
      <c r="U37" s="31">
        <f t="shared" si="16"/>
        <v>15441.405055062709</v>
      </c>
      <c r="V37" s="50"/>
      <c r="W37" s="32">
        <f t="shared" si="17"/>
        <v>475.98258486562935</v>
      </c>
      <c r="X37" s="32">
        <f t="shared" si="17"/>
        <v>713.97387729844411</v>
      </c>
      <c r="Y37" s="32">
        <f t="shared" si="17"/>
        <v>951.9651697312587</v>
      </c>
      <c r="Z37" s="32">
        <f t="shared" si="17"/>
        <v>1070.9608159476661</v>
      </c>
      <c r="AA37" s="32">
        <f t="shared" si="17"/>
        <v>1189.9564621640734</v>
      </c>
      <c r="AB37" s="32">
        <f t="shared" si="17"/>
        <v>1308.9521083804807</v>
      </c>
      <c r="AC37" s="32">
        <f t="shared" si="17"/>
        <v>1427.9477545968882</v>
      </c>
      <c r="AD37" s="32">
        <f t="shared" si="17"/>
        <v>1546.9434008132953</v>
      </c>
      <c r="AE37" s="32">
        <f t="shared" si="17"/>
        <v>1665.9390470297026</v>
      </c>
      <c r="AF37" s="91">
        <f t="shared" si="17"/>
        <v>1784.9346932461103</v>
      </c>
    </row>
    <row r="38" spans="2:32" x14ac:dyDescent="0.25">
      <c r="B38" s="54">
        <f>C38*2</f>
        <v>5.5</v>
      </c>
      <c r="C38" s="30">
        <v>2.75</v>
      </c>
      <c r="D38" s="30"/>
      <c r="E38" s="30"/>
      <c r="F38" s="30"/>
      <c r="G38" s="30"/>
      <c r="H38" s="35">
        <f t="shared" si="18"/>
        <v>1669.3725696607144</v>
      </c>
      <c r="I38" s="90">
        <f t="shared" si="5"/>
        <v>441.00178571428569</v>
      </c>
      <c r="J38" s="102">
        <f t="shared" si="6"/>
        <v>441.00178571428569</v>
      </c>
      <c r="K38" s="33"/>
      <c r="L38" s="31">
        <f t="shared" si="7"/>
        <v>4982.4266977669004</v>
      </c>
      <c r="M38" s="31">
        <f t="shared" si="8"/>
        <v>7473.6400466503519</v>
      </c>
      <c r="N38" s="31">
        <f t="shared" si="9"/>
        <v>9964.8533955338007</v>
      </c>
      <c r="O38" s="31">
        <f t="shared" si="10"/>
        <v>11210.460069975526</v>
      </c>
      <c r="P38" s="31">
        <f t="shared" si="11"/>
        <v>12456.066744417252</v>
      </c>
      <c r="Q38" s="31">
        <f t="shared" si="12"/>
        <v>13701.673418858976</v>
      </c>
      <c r="R38" s="31">
        <f t="shared" si="13"/>
        <v>14947.280093300704</v>
      </c>
      <c r="S38" s="31">
        <f t="shared" si="14"/>
        <v>16192.886767742428</v>
      </c>
      <c r="T38" s="31">
        <f t="shared" si="15"/>
        <v>17438.49344218415</v>
      </c>
      <c r="U38" s="31">
        <f t="shared" si="16"/>
        <v>18684.100116625879</v>
      </c>
      <c r="V38" s="50"/>
      <c r="W38" s="32">
        <f t="shared" si="17"/>
        <v>575.93892768741148</v>
      </c>
      <c r="X38" s="32">
        <f t="shared" si="17"/>
        <v>863.90839153111745</v>
      </c>
      <c r="Y38" s="32">
        <f t="shared" si="17"/>
        <v>1151.877855374823</v>
      </c>
      <c r="Z38" s="32">
        <f t="shared" si="17"/>
        <v>1295.8625872966759</v>
      </c>
      <c r="AA38" s="32">
        <f t="shared" si="17"/>
        <v>1439.847319218529</v>
      </c>
      <c r="AB38" s="32">
        <f t="shared" si="17"/>
        <v>1583.8320511403817</v>
      </c>
      <c r="AC38" s="32">
        <f t="shared" si="17"/>
        <v>1727.8167830622349</v>
      </c>
      <c r="AD38" s="32">
        <f t="shared" si="17"/>
        <v>1871.8015149840876</v>
      </c>
      <c r="AE38" s="32">
        <f t="shared" si="17"/>
        <v>2015.7862469059403</v>
      </c>
      <c r="AF38" s="91">
        <f t="shared" si="17"/>
        <v>2159.7709788277934</v>
      </c>
    </row>
    <row r="39" spans="2:32" x14ac:dyDescent="0.25">
      <c r="B39" s="54">
        <f>C39*2</f>
        <v>6</v>
      </c>
      <c r="C39" s="30">
        <v>3</v>
      </c>
      <c r="D39" s="30"/>
      <c r="E39" s="30"/>
      <c r="F39" s="30"/>
      <c r="G39" s="30"/>
      <c r="H39" s="35">
        <f t="shared" si="18"/>
        <v>1986.6913225714286</v>
      </c>
      <c r="I39" s="90">
        <f t="shared" si="5"/>
        <v>524.82857142857142</v>
      </c>
      <c r="J39" s="102">
        <f t="shared" si="6"/>
        <v>524.82857142857142</v>
      </c>
      <c r="K39" s="33"/>
      <c r="L39" s="31">
        <f t="shared" si="7"/>
        <v>5929.4995411440805</v>
      </c>
      <c r="M39" s="31">
        <f t="shared" si="8"/>
        <v>8894.2493117161193</v>
      </c>
      <c r="N39" s="31">
        <f t="shared" si="9"/>
        <v>11858.999082288161</v>
      </c>
      <c r="O39" s="31">
        <f t="shared" si="10"/>
        <v>13341.373967574182</v>
      </c>
      <c r="P39" s="31">
        <f t="shared" si="11"/>
        <v>14823.748852860203</v>
      </c>
      <c r="Q39" s="31">
        <f t="shared" si="12"/>
        <v>16306.123738146222</v>
      </c>
      <c r="R39" s="31">
        <f t="shared" si="13"/>
        <v>17788.498623432239</v>
      </c>
      <c r="S39" s="31">
        <f t="shared" si="14"/>
        <v>19270.873508718261</v>
      </c>
      <c r="T39" s="31">
        <f t="shared" si="15"/>
        <v>20753.24839400428</v>
      </c>
      <c r="U39" s="31">
        <f t="shared" si="16"/>
        <v>22235.623279290299</v>
      </c>
      <c r="V39" s="50"/>
      <c r="W39" s="32">
        <f t="shared" si="17"/>
        <v>685.41492220650639</v>
      </c>
      <c r="X39" s="32">
        <f t="shared" si="17"/>
        <v>1028.1223833097595</v>
      </c>
      <c r="Y39" s="32">
        <f t="shared" si="17"/>
        <v>1370.8298444130128</v>
      </c>
      <c r="Z39" s="32">
        <f t="shared" si="17"/>
        <v>1542.1835749646393</v>
      </c>
      <c r="AA39" s="32">
        <f t="shared" si="17"/>
        <v>1713.5373055162661</v>
      </c>
      <c r="AB39" s="32">
        <f t="shared" si="17"/>
        <v>1884.8910360678924</v>
      </c>
      <c r="AC39" s="32">
        <f t="shared" si="17"/>
        <v>2056.2447666195189</v>
      </c>
      <c r="AD39" s="32">
        <f t="shared" si="17"/>
        <v>2227.5984971711459</v>
      </c>
      <c r="AE39" s="32">
        <f t="shared" si="17"/>
        <v>2398.952227722772</v>
      </c>
      <c r="AF39" s="91">
        <f t="shared" si="17"/>
        <v>2570.3059582743986</v>
      </c>
    </row>
    <row r="40" spans="2:32" ht="15.75" thickBot="1" x14ac:dyDescent="0.3">
      <c r="B40" s="55">
        <f>C40*2</f>
        <v>6.5</v>
      </c>
      <c r="C40" s="92">
        <v>3.25</v>
      </c>
      <c r="D40" s="92"/>
      <c r="E40" s="92"/>
      <c r="F40" s="92"/>
      <c r="G40" s="92"/>
      <c r="H40" s="93">
        <f t="shared" si="18"/>
        <v>2331.6030105178575</v>
      </c>
      <c r="I40" s="94">
        <f t="shared" si="5"/>
        <v>615.94464285714287</v>
      </c>
      <c r="J40" s="103">
        <f t="shared" si="6"/>
        <v>615.94464285714287</v>
      </c>
      <c r="K40" s="104"/>
      <c r="L40" s="95">
        <f t="shared" si="7"/>
        <v>6958.926544814929</v>
      </c>
      <c r="M40" s="95">
        <f t="shared" si="8"/>
        <v>10438.389817222391</v>
      </c>
      <c r="N40" s="95">
        <f t="shared" si="9"/>
        <v>13917.853089629858</v>
      </c>
      <c r="O40" s="95">
        <f t="shared" si="10"/>
        <v>15657.584725833589</v>
      </c>
      <c r="P40" s="95">
        <f t="shared" si="11"/>
        <v>17397.31636203732</v>
      </c>
      <c r="Q40" s="95">
        <f t="shared" si="12"/>
        <v>19137.047998241051</v>
      </c>
      <c r="R40" s="95">
        <f t="shared" si="13"/>
        <v>20876.779634444782</v>
      </c>
      <c r="S40" s="95">
        <f t="shared" si="14"/>
        <v>22616.511270648516</v>
      </c>
      <c r="T40" s="95">
        <f t="shared" si="15"/>
        <v>24356.242906852247</v>
      </c>
      <c r="U40" s="95">
        <f t="shared" si="16"/>
        <v>26095.974543055978</v>
      </c>
      <c r="V40" s="96"/>
      <c r="W40" s="97">
        <f t="shared" si="17"/>
        <v>804.4105684229138</v>
      </c>
      <c r="X40" s="97">
        <f t="shared" si="17"/>
        <v>1206.6158526343704</v>
      </c>
      <c r="Y40" s="97">
        <f t="shared" si="17"/>
        <v>1608.8211368458276</v>
      </c>
      <c r="Z40" s="97">
        <f t="shared" si="17"/>
        <v>1809.923778951556</v>
      </c>
      <c r="AA40" s="97">
        <f t="shared" si="17"/>
        <v>2011.0264210572841</v>
      </c>
      <c r="AB40" s="97">
        <f t="shared" si="17"/>
        <v>2212.1290631630127</v>
      </c>
      <c r="AC40" s="97">
        <f t="shared" si="17"/>
        <v>2413.2317052687408</v>
      </c>
      <c r="AD40" s="97">
        <f t="shared" si="17"/>
        <v>2614.3343473744694</v>
      </c>
      <c r="AE40" s="97">
        <f t="shared" si="17"/>
        <v>2815.436989480198</v>
      </c>
      <c r="AF40" s="98">
        <f t="shared" si="17"/>
        <v>3016.5396315859266</v>
      </c>
    </row>
  </sheetData>
  <sheetProtection algorithmName="SHA-512" hashValue="xmgtZYvSZUCUKNyY6IjqxiE8fiqHilJY7fbYYXGh4nQ//ANMj0DZtQRirW2lACcliESH6ii+4kIHIzUKZlQt8A==" saltValue="nstvAd2pbhYQ+zYruepNgQ==" spinCount="100000" sheet="1" objects="1" scenarios="1"/>
  <mergeCells count="11">
    <mergeCell ref="W32:AF32"/>
    <mergeCell ref="B33:B34"/>
    <mergeCell ref="H33:H34"/>
    <mergeCell ref="J33:J34"/>
    <mergeCell ref="L7:U7"/>
    <mergeCell ref="K10:K11"/>
    <mergeCell ref="K14:K15"/>
    <mergeCell ref="K18:K19"/>
    <mergeCell ref="K22:K23"/>
    <mergeCell ref="K26:K27"/>
    <mergeCell ref="X8:AF26"/>
  </mergeCells>
  <conditionalFormatting sqref="W35:AF40">
    <cfRule type="cellIs" dxfId="5" priority="4" operator="greaterThan">
      <formula>$N$2*1.02</formula>
    </cfRule>
    <cfRule type="cellIs" dxfId="4" priority="5" operator="between">
      <formula>$N$2*0.95</formula>
      <formula>$N$2*1.05</formula>
    </cfRule>
    <cfRule type="cellIs" dxfId="3" priority="6" operator="between">
      <formula>0</formula>
      <formula>$N$2</formula>
    </cfRule>
  </conditionalFormatting>
  <conditionalFormatting sqref="L35:U40">
    <cfRule type="cellIs" dxfId="2" priority="1" operator="between">
      <formula>$S$32</formula>
      <formula>50000</formula>
    </cfRule>
    <cfRule type="cellIs" dxfId="1" priority="2" operator="between">
      <formula>$S$32*0.9</formula>
      <formula>$S$32</formula>
    </cfRule>
    <cfRule type="cellIs" dxfId="0" priority="3" operator="between">
      <formula>0</formula>
      <formula>$S$32*0.9</formula>
    </cfRule>
  </conditionalFormatting>
  <pageMargins left="0.7" right="0.7" top="0.75" bottom="0.75" header="0.3" footer="0.3"/>
  <pageSetup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402F-78C7-433C-9897-7EDBEE4B7AF6}">
  <sheetPr>
    <pageSetUpPr fitToPage="1"/>
  </sheetPr>
  <dimension ref="A1:K27"/>
  <sheetViews>
    <sheetView workbookViewId="0">
      <selection activeCell="K26" sqref="A1:K26"/>
    </sheetView>
  </sheetViews>
  <sheetFormatPr defaultRowHeight="15" x14ac:dyDescent="0.25"/>
  <cols>
    <col min="1" max="1" width="24.85546875" customWidth="1"/>
    <col min="2" max="11" width="15.7109375" style="3" customWidth="1"/>
  </cols>
  <sheetData>
    <row r="1" spans="1:11" ht="6.6" customHeight="1" thickBot="1" x14ac:dyDescent="0.3">
      <c r="A1" s="209"/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s="126" customFormat="1" ht="28.9" customHeight="1" thickBot="1" x14ac:dyDescent="0.3">
      <c r="A2" s="211" t="s">
        <v>47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9.6" customHeight="1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x14ac:dyDescent="0.25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5.45" customHeight="1" x14ac:dyDescent="0.25">
      <c r="A5" s="215"/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x14ac:dyDescent="0.25">
      <c r="A6" s="217" t="s">
        <v>48</v>
      </c>
      <c r="B6" s="218" t="s">
        <v>49</v>
      </c>
      <c r="C6" s="218" t="s">
        <v>49</v>
      </c>
      <c r="D6" s="218" t="s">
        <v>49</v>
      </c>
      <c r="E6" s="218" t="s">
        <v>49</v>
      </c>
      <c r="F6" s="218" t="s">
        <v>50</v>
      </c>
      <c r="G6" s="218" t="s">
        <v>50</v>
      </c>
      <c r="H6" s="218" t="s">
        <v>50</v>
      </c>
      <c r="I6" s="218" t="s">
        <v>51</v>
      </c>
      <c r="J6" s="218" t="s">
        <v>51</v>
      </c>
      <c r="K6" s="218" t="s">
        <v>51</v>
      </c>
    </row>
    <row r="7" spans="1:11" s="8" customFormat="1" x14ac:dyDescent="0.25">
      <c r="A7" s="219" t="s">
        <v>52</v>
      </c>
      <c r="B7" s="220" t="s">
        <v>53</v>
      </c>
      <c r="C7" s="220" t="s">
        <v>54</v>
      </c>
      <c r="D7" s="220" t="s">
        <v>55</v>
      </c>
      <c r="E7" s="220" t="s">
        <v>56</v>
      </c>
      <c r="F7" s="220" t="s">
        <v>57</v>
      </c>
      <c r="G7" s="220" t="s">
        <v>58</v>
      </c>
      <c r="H7" s="220" t="s">
        <v>59</v>
      </c>
      <c r="I7" s="220" t="s">
        <v>60</v>
      </c>
      <c r="J7" s="220" t="s">
        <v>61</v>
      </c>
      <c r="K7" s="220" t="s">
        <v>62</v>
      </c>
    </row>
    <row r="8" spans="1:11" x14ac:dyDescent="0.25">
      <c r="A8" s="217" t="s">
        <v>63</v>
      </c>
      <c r="B8" s="221">
        <v>1300</v>
      </c>
      <c r="C8" s="221">
        <v>1300</v>
      </c>
      <c r="D8" s="221">
        <v>1600</v>
      </c>
      <c r="E8" s="221">
        <v>1600</v>
      </c>
      <c r="F8" s="221">
        <v>1350</v>
      </c>
      <c r="G8" s="221">
        <v>1600</v>
      </c>
      <c r="H8" s="221">
        <v>1600</v>
      </c>
      <c r="I8" s="221">
        <v>1300</v>
      </c>
      <c r="J8" s="221">
        <v>1600</v>
      </c>
      <c r="K8" s="221">
        <v>1600</v>
      </c>
    </row>
    <row r="9" spans="1:11" s="8" customFormat="1" x14ac:dyDescent="0.25">
      <c r="A9" s="219" t="s">
        <v>3</v>
      </c>
      <c r="B9" s="222">
        <v>5000</v>
      </c>
      <c r="C9" s="222">
        <v>7500</v>
      </c>
      <c r="D9" s="222">
        <v>5000</v>
      </c>
      <c r="E9" s="222">
        <v>7500</v>
      </c>
      <c r="F9" s="222">
        <v>5000</v>
      </c>
      <c r="G9" s="222">
        <v>5000</v>
      </c>
      <c r="H9" s="222">
        <v>7500</v>
      </c>
      <c r="I9" s="222">
        <v>5000</v>
      </c>
      <c r="J9" s="222">
        <v>5000</v>
      </c>
      <c r="K9" s="222">
        <v>7500</v>
      </c>
    </row>
    <row r="10" spans="1:11" x14ac:dyDescent="0.25">
      <c r="A10" s="217" t="s">
        <v>30</v>
      </c>
      <c r="B10" s="223">
        <v>11</v>
      </c>
      <c r="C10" s="223">
        <v>11</v>
      </c>
      <c r="D10" s="223">
        <v>11</v>
      </c>
      <c r="E10" s="223">
        <v>11</v>
      </c>
      <c r="F10" s="223">
        <v>10</v>
      </c>
      <c r="G10" s="223">
        <v>11</v>
      </c>
      <c r="H10" s="223">
        <v>11</v>
      </c>
      <c r="I10" s="223">
        <v>12</v>
      </c>
      <c r="J10" s="223">
        <v>12</v>
      </c>
      <c r="K10" s="223">
        <v>12</v>
      </c>
    </row>
    <row r="11" spans="1:11" hidden="1" x14ac:dyDescent="0.25">
      <c r="A11" s="217" t="s">
        <v>64</v>
      </c>
      <c r="B11" s="223">
        <v>7</v>
      </c>
      <c r="C11" s="223">
        <v>7</v>
      </c>
      <c r="D11" s="223">
        <v>7</v>
      </c>
      <c r="E11" s="223">
        <v>7</v>
      </c>
      <c r="F11" s="223">
        <v>7</v>
      </c>
      <c r="G11" s="223">
        <v>7</v>
      </c>
      <c r="H11" s="223">
        <v>7</v>
      </c>
      <c r="I11" s="223"/>
      <c r="J11" s="223">
        <v>7</v>
      </c>
      <c r="K11" s="223">
        <v>7</v>
      </c>
    </row>
    <row r="12" spans="1:11" hidden="1" x14ac:dyDescent="0.25">
      <c r="A12" s="217" t="s">
        <v>65</v>
      </c>
      <c r="B12" s="223">
        <v>3238</v>
      </c>
      <c r="C12" s="223">
        <v>3238</v>
      </c>
      <c r="D12" s="223">
        <v>3741</v>
      </c>
      <c r="E12" s="223">
        <v>3238</v>
      </c>
      <c r="F12" s="223">
        <v>3624</v>
      </c>
      <c r="G12" s="223">
        <v>3624</v>
      </c>
      <c r="H12" s="223">
        <v>3624</v>
      </c>
      <c r="I12" s="223"/>
      <c r="J12" s="223">
        <v>3429</v>
      </c>
      <c r="K12" s="223"/>
    </row>
    <row r="13" spans="1:11" hidden="1" x14ac:dyDescent="0.25">
      <c r="A13" s="217" t="s">
        <v>66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</row>
    <row r="14" spans="1:11" hidden="1" x14ac:dyDescent="0.25">
      <c r="A14" s="217" t="s">
        <v>67</v>
      </c>
      <c r="B14" s="223">
        <v>124549</v>
      </c>
      <c r="C14" s="223">
        <v>124549</v>
      </c>
      <c r="D14" s="223">
        <v>143897</v>
      </c>
      <c r="E14" s="223">
        <v>124549</v>
      </c>
      <c r="F14" s="223">
        <v>139397</v>
      </c>
      <c r="G14" s="223">
        <v>139397</v>
      </c>
      <c r="H14" s="223">
        <v>139397</v>
      </c>
      <c r="I14" s="223"/>
      <c r="J14" s="223">
        <v>131896</v>
      </c>
      <c r="K14" s="223">
        <v>131896</v>
      </c>
    </row>
    <row r="15" spans="1:11" x14ac:dyDescent="0.25">
      <c r="A15" s="217" t="s">
        <v>68</v>
      </c>
      <c r="B15" s="223">
        <v>130</v>
      </c>
      <c r="C15" s="223">
        <v>130</v>
      </c>
      <c r="D15" s="223">
        <v>120</v>
      </c>
      <c r="E15" s="223">
        <v>120</v>
      </c>
      <c r="F15" s="223">
        <v>115</v>
      </c>
      <c r="G15" s="223">
        <v>115</v>
      </c>
      <c r="H15" s="223">
        <v>115</v>
      </c>
      <c r="I15" s="223">
        <v>120</v>
      </c>
      <c r="J15" s="223">
        <v>120</v>
      </c>
      <c r="K15" s="223">
        <v>120</v>
      </c>
    </row>
    <row r="16" spans="1:11" x14ac:dyDescent="0.25">
      <c r="A16" s="217" t="s">
        <v>28</v>
      </c>
      <c r="B16" s="223">
        <v>4.67</v>
      </c>
      <c r="C16" s="223">
        <v>4.67</v>
      </c>
      <c r="D16" s="223">
        <v>4.6130000000000004</v>
      </c>
      <c r="E16" s="223">
        <v>4.6130000000000004</v>
      </c>
      <c r="F16" s="223">
        <v>4.38</v>
      </c>
      <c r="G16" s="223">
        <v>4.38</v>
      </c>
      <c r="H16" s="223">
        <v>4.38</v>
      </c>
      <c r="I16" s="223">
        <v>4.2060000000000004</v>
      </c>
      <c r="J16" s="223">
        <v>4.2060000000000004</v>
      </c>
      <c r="K16" s="223">
        <v>4.2060000000000004</v>
      </c>
    </row>
    <row r="17" spans="1:11" x14ac:dyDescent="0.25">
      <c r="A17" s="217" t="s">
        <v>69</v>
      </c>
      <c r="B17" s="223">
        <v>7</v>
      </c>
      <c r="C17" s="223">
        <v>7</v>
      </c>
      <c r="D17" s="223">
        <v>7</v>
      </c>
      <c r="E17" s="223">
        <v>7</v>
      </c>
      <c r="F17" s="223">
        <v>7</v>
      </c>
      <c r="G17" s="223">
        <v>7</v>
      </c>
      <c r="H17" s="223">
        <v>7</v>
      </c>
      <c r="I17" s="223">
        <v>7</v>
      </c>
      <c r="J17" s="223">
        <v>7</v>
      </c>
      <c r="K17" s="223">
        <v>7</v>
      </c>
    </row>
    <row r="18" spans="1:11" x14ac:dyDescent="0.25">
      <c r="A18" s="217" t="s">
        <v>70</v>
      </c>
      <c r="B18" s="223">
        <v>2807</v>
      </c>
      <c r="C18" s="223">
        <v>2807</v>
      </c>
      <c r="D18" s="223">
        <v>3741</v>
      </c>
      <c r="E18" s="223">
        <v>3741</v>
      </c>
      <c r="F18" s="223">
        <v>3624</v>
      </c>
      <c r="G18" s="223">
        <v>3904</v>
      </c>
      <c r="H18" s="223">
        <v>3904</v>
      </c>
      <c r="I18" s="223">
        <v>2785</v>
      </c>
      <c r="J18" s="223">
        <v>3430</v>
      </c>
      <c r="K18" s="223">
        <v>3430</v>
      </c>
    </row>
    <row r="19" spans="1:11" x14ac:dyDescent="0.25">
      <c r="A19" s="217" t="s">
        <v>71</v>
      </c>
      <c r="B19" s="221" t="s">
        <v>72</v>
      </c>
      <c r="C19" s="221" t="s">
        <v>73</v>
      </c>
      <c r="D19" s="221" t="s">
        <v>72</v>
      </c>
      <c r="E19" s="221" t="s">
        <v>74</v>
      </c>
      <c r="F19" s="221" t="s">
        <v>72</v>
      </c>
      <c r="G19" s="221" t="s">
        <v>72</v>
      </c>
      <c r="H19" s="221" t="s">
        <v>75</v>
      </c>
      <c r="I19" s="221" t="s">
        <v>76</v>
      </c>
      <c r="J19" s="221" t="s">
        <v>76</v>
      </c>
      <c r="K19" s="221" t="s">
        <v>77</v>
      </c>
    </row>
    <row r="20" spans="1:11" x14ac:dyDescent="0.25">
      <c r="A20" s="217" t="s">
        <v>78</v>
      </c>
      <c r="B20" s="221">
        <v>31500</v>
      </c>
      <c r="C20" s="221">
        <v>33400</v>
      </c>
      <c r="D20" s="221">
        <v>42400</v>
      </c>
      <c r="E20" s="221">
        <v>46250</v>
      </c>
      <c r="F20" s="221">
        <v>41400</v>
      </c>
      <c r="G20" s="221">
        <v>41400</v>
      </c>
      <c r="H20" s="221">
        <v>46150</v>
      </c>
      <c r="I20" s="221">
        <v>54058</v>
      </c>
      <c r="J20" s="221">
        <v>56400</v>
      </c>
      <c r="K20" s="221">
        <v>66800</v>
      </c>
    </row>
    <row r="21" spans="1:11" x14ac:dyDescent="0.25">
      <c r="A21" s="217" t="s">
        <v>79</v>
      </c>
      <c r="B21" s="221">
        <f>B26-B25-B24-B23-B22</f>
        <v>26233</v>
      </c>
      <c r="C21" s="221">
        <f>C26-C25-C24-C23-C22</f>
        <v>28843</v>
      </c>
      <c r="D21" s="221">
        <f>D26-D25-D24-D23-D22</f>
        <v>37843</v>
      </c>
      <c r="E21" s="221">
        <f>E26-E25-E24-E23-E22</f>
        <v>41693</v>
      </c>
      <c r="F21" s="221">
        <v>37000</v>
      </c>
      <c r="G21" s="221">
        <v>37000</v>
      </c>
      <c r="H21" s="221">
        <f>H20-H22</f>
        <v>41750</v>
      </c>
      <c r="I21" s="221">
        <f>I20-I22</f>
        <v>49958</v>
      </c>
      <c r="J21" s="221">
        <f t="shared" ref="J21:K21" si="0">J20-J22</f>
        <v>52300</v>
      </c>
      <c r="K21" s="221">
        <f t="shared" si="0"/>
        <v>62700</v>
      </c>
    </row>
    <row r="22" spans="1:11" x14ac:dyDescent="0.25">
      <c r="A22" s="217" t="s">
        <v>80</v>
      </c>
      <c r="B22" s="221">
        <v>4100</v>
      </c>
      <c r="C22" s="221">
        <v>4100</v>
      </c>
      <c r="D22" s="221">
        <v>4100</v>
      </c>
      <c r="E22" s="221">
        <v>4100</v>
      </c>
      <c r="F22" s="221">
        <v>4400</v>
      </c>
      <c r="G22" s="221">
        <v>4400</v>
      </c>
      <c r="H22" s="221">
        <v>4400</v>
      </c>
      <c r="I22" s="221">
        <v>4100</v>
      </c>
      <c r="J22" s="221">
        <v>4100</v>
      </c>
      <c r="K22" s="221">
        <v>4100</v>
      </c>
    </row>
    <row r="23" spans="1:11" x14ac:dyDescent="0.25">
      <c r="A23" s="217" t="s">
        <v>81</v>
      </c>
      <c r="B23" s="221">
        <v>2332</v>
      </c>
      <c r="C23" s="221">
        <v>2332</v>
      </c>
      <c r="D23" s="221">
        <v>2332</v>
      </c>
      <c r="E23" s="221">
        <v>2332</v>
      </c>
      <c r="F23" s="221">
        <v>2332</v>
      </c>
      <c r="G23" s="221">
        <v>2332</v>
      </c>
      <c r="H23" s="221">
        <v>2332</v>
      </c>
      <c r="I23" s="221">
        <v>2332</v>
      </c>
      <c r="J23" s="221">
        <v>2332</v>
      </c>
      <c r="K23" s="221">
        <v>2332</v>
      </c>
    </row>
    <row r="24" spans="1:11" x14ac:dyDescent="0.25">
      <c r="A24" s="217" t="s">
        <v>82</v>
      </c>
      <c r="B24" s="221">
        <v>1678</v>
      </c>
      <c r="C24" s="221">
        <v>1678</v>
      </c>
      <c r="D24" s="221">
        <v>1678</v>
      </c>
      <c r="E24" s="221">
        <v>1678</v>
      </c>
      <c r="F24" s="221">
        <v>1678</v>
      </c>
      <c r="G24" s="221">
        <v>1678</v>
      </c>
      <c r="H24" s="221">
        <v>1678</v>
      </c>
      <c r="I24" s="221">
        <v>1678</v>
      </c>
      <c r="J24" s="221">
        <v>1678</v>
      </c>
      <c r="K24" s="221">
        <v>1678</v>
      </c>
    </row>
    <row r="25" spans="1:11" x14ac:dyDescent="0.25">
      <c r="A25" s="217" t="s">
        <v>83</v>
      </c>
      <c r="B25" s="221">
        <v>457</v>
      </c>
      <c r="C25" s="221">
        <v>457</v>
      </c>
      <c r="D25" s="221">
        <v>457</v>
      </c>
      <c r="E25" s="221">
        <v>457</v>
      </c>
      <c r="F25" s="221">
        <v>252</v>
      </c>
      <c r="G25" s="221">
        <v>252</v>
      </c>
      <c r="H25" s="221">
        <v>252</v>
      </c>
      <c r="I25" s="221">
        <v>252</v>
      </c>
      <c r="J25" s="221">
        <v>252</v>
      </c>
      <c r="K25" s="221">
        <v>252</v>
      </c>
    </row>
    <row r="26" spans="1:11" x14ac:dyDescent="0.25">
      <c r="A26" s="219" t="s">
        <v>84</v>
      </c>
      <c r="B26" s="222">
        <v>34800</v>
      </c>
      <c r="C26" s="222">
        <f>C20+C23+C24</f>
        <v>37410</v>
      </c>
      <c r="D26" s="222">
        <f>D20+D23+D24</f>
        <v>46410</v>
      </c>
      <c r="E26" s="222">
        <f>E20+E23+E24</f>
        <v>50260</v>
      </c>
      <c r="F26" s="222">
        <f>SUM(F21:F24)</f>
        <v>45410</v>
      </c>
      <c r="G26" s="222">
        <f>SUM(G21:G25)</f>
        <v>45662</v>
      </c>
      <c r="H26" s="222">
        <f>SUM(H21:H25)</f>
        <v>50412</v>
      </c>
      <c r="I26" s="222">
        <f>SUM(I21:I25)</f>
        <v>58320</v>
      </c>
      <c r="J26" s="222">
        <f>J21+J23+J24+J25+(J22/2)</f>
        <v>58612</v>
      </c>
      <c r="K26" s="222">
        <f>K21+K23+K24+K25+(K22/2)</f>
        <v>69012</v>
      </c>
    </row>
    <row r="27" spans="1:11" ht="27.6" customHeight="1" x14ac:dyDescent="0.25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</sheetData>
  <sheetProtection algorithmName="SHA-512" hashValue="1QWgoJH4J/lvKr+TpcS9yx+yuRtTOWy4E/Zm/OFiFYLtGlrPSzFjk6oBY2Lgvz77ftCr0XYn2pTl4JW6D6n/8A==" saltValue="btREOXI7X2Xog7OznFUwNg==" spinCount="100000" sheet="1" objects="1" scenarios="1"/>
  <pageMargins left="0.7" right="0.7" top="0.75" bottom="0.75" header="0.3" footer="0.3"/>
  <pageSetup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EA9BF-566F-4B59-84F0-6C4B97993D55}">
  <sheetPr>
    <pageSetUpPr fitToPage="1"/>
  </sheetPr>
  <dimension ref="A1:T50"/>
  <sheetViews>
    <sheetView topLeftCell="A29" zoomScale="85" zoomScaleNormal="85" workbookViewId="0">
      <selection activeCell="Q51" sqref="A1:Q51"/>
    </sheetView>
  </sheetViews>
  <sheetFormatPr defaultRowHeight="15" x14ac:dyDescent="0.25"/>
  <cols>
    <col min="1" max="1" width="17.5703125" customWidth="1"/>
    <col min="2" max="2" width="10.42578125" style="3" customWidth="1"/>
    <col min="3" max="4" width="12.42578125" style="3" customWidth="1"/>
    <col min="5" max="5" width="8.85546875" style="3" customWidth="1"/>
    <col min="6" max="6" width="0.85546875" customWidth="1"/>
    <col min="7" max="7" width="19.7109375" customWidth="1"/>
    <col min="8" max="8" width="10.42578125" style="3" customWidth="1"/>
    <col min="9" max="10" width="12.42578125" style="3" customWidth="1"/>
    <col min="11" max="11" width="8.85546875" style="3" customWidth="1"/>
    <col min="12" max="12" width="0.7109375" customWidth="1"/>
    <col min="13" max="13" width="17.7109375" customWidth="1"/>
    <col min="14" max="14" width="10.42578125" style="3" customWidth="1"/>
    <col min="15" max="15" width="12.42578125" style="3" customWidth="1"/>
    <col min="16" max="16" width="12.140625" style="3" customWidth="1"/>
    <col min="17" max="17" width="8.85546875" style="3" customWidth="1"/>
    <col min="18" max="18" width="2.7109375" customWidth="1"/>
  </cols>
  <sheetData>
    <row r="1" spans="1:20" ht="39" customHeight="1" thickBot="1" x14ac:dyDescent="0.3">
      <c r="A1" s="131"/>
      <c r="B1" s="143" t="s">
        <v>105</v>
      </c>
      <c r="C1" s="132"/>
      <c r="D1" s="132"/>
      <c r="E1" s="132"/>
      <c r="F1" s="133"/>
      <c r="G1" s="133"/>
      <c r="H1" s="132"/>
      <c r="I1" s="132"/>
      <c r="J1" s="132"/>
      <c r="K1" s="132"/>
      <c r="L1" s="133"/>
      <c r="M1" s="133"/>
      <c r="N1" s="132"/>
      <c r="O1" s="132"/>
      <c r="P1" s="132"/>
      <c r="Q1" s="134"/>
    </row>
    <row r="2" spans="1:20" ht="9" customHeight="1" x14ac:dyDescent="0.25"/>
    <row r="3" spans="1:20" s="158" customFormat="1" ht="23.25" customHeight="1" x14ac:dyDescent="0.25">
      <c r="A3" s="154" t="s">
        <v>91</v>
      </c>
      <c r="B3" s="155"/>
      <c r="C3" s="155"/>
      <c r="D3" s="156"/>
      <c r="E3" s="157"/>
      <c r="G3" s="154" t="s">
        <v>92</v>
      </c>
      <c r="H3" s="155"/>
      <c r="I3" s="155"/>
      <c r="J3" s="156"/>
      <c r="K3" s="157"/>
      <c r="M3" s="154" t="s">
        <v>98</v>
      </c>
      <c r="N3" s="155"/>
      <c r="O3" s="155"/>
      <c r="P3" s="156"/>
      <c r="Q3" s="157"/>
    </row>
    <row r="4" spans="1:20" ht="3" customHeight="1" x14ac:dyDescent="0.25"/>
    <row r="5" spans="1:20" s="2" customFormat="1" ht="20.25" customHeight="1" x14ac:dyDescent="0.25">
      <c r="A5" s="163" t="s">
        <v>88</v>
      </c>
      <c r="B5" s="164"/>
      <c r="C5" s="164"/>
      <c r="D5" s="164"/>
      <c r="E5" s="144"/>
      <c r="G5" s="163" t="s">
        <v>93</v>
      </c>
      <c r="H5" s="164"/>
      <c r="I5" s="164"/>
      <c r="J5" s="164"/>
      <c r="K5" s="144"/>
      <c r="M5" s="175" t="s">
        <v>99</v>
      </c>
      <c r="N5" s="175"/>
      <c r="O5" s="164"/>
      <c r="P5" s="164"/>
      <c r="Q5" s="144"/>
    </row>
    <row r="6" spans="1:20" s="2" customFormat="1" ht="20.25" customHeight="1" x14ac:dyDescent="0.25">
      <c r="A6" s="163" t="s">
        <v>107</v>
      </c>
      <c r="B6" s="164"/>
      <c r="C6" s="164"/>
      <c r="D6" s="164"/>
      <c r="E6" s="144"/>
      <c r="G6" s="163" t="s">
        <v>34</v>
      </c>
      <c r="H6" s="164"/>
      <c r="I6" s="164"/>
      <c r="J6" s="164"/>
      <c r="K6" s="144"/>
      <c r="M6" s="175" t="s">
        <v>110</v>
      </c>
      <c r="N6" s="175"/>
      <c r="O6" s="164"/>
      <c r="P6" s="164"/>
      <c r="Q6" s="144"/>
    </row>
    <row r="7" spans="1:20" s="2" customFormat="1" ht="20.25" customHeight="1" x14ac:dyDescent="0.25">
      <c r="A7" s="163" t="s">
        <v>101</v>
      </c>
      <c r="B7" s="164"/>
      <c r="C7" s="164"/>
      <c r="D7" s="164"/>
      <c r="E7" s="144"/>
      <c r="G7" s="163" t="s">
        <v>89</v>
      </c>
      <c r="H7" s="164"/>
      <c r="I7" s="164"/>
      <c r="J7" s="164"/>
      <c r="K7" s="144"/>
      <c r="M7" s="175" t="s">
        <v>104</v>
      </c>
      <c r="N7" s="175"/>
      <c r="O7" s="164"/>
      <c r="P7" s="164"/>
      <c r="Q7" s="144"/>
      <c r="T7" s="145"/>
    </row>
    <row r="8" spans="1:20" s="2" customFormat="1" ht="20.25" customHeight="1" x14ac:dyDescent="0.25">
      <c r="A8" s="163" t="s">
        <v>102</v>
      </c>
      <c r="B8" s="164"/>
      <c r="C8" s="164"/>
      <c r="D8" s="164"/>
      <c r="E8" s="144"/>
      <c r="G8" s="163" t="s">
        <v>90</v>
      </c>
      <c r="H8" s="164"/>
      <c r="I8" s="164"/>
      <c r="J8" s="164"/>
      <c r="K8" s="144"/>
      <c r="M8" s="175" t="s">
        <v>94</v>
      </c>
      <c r="N8" s="175"/>
      <c r="O8" s="164"/>
      <c r="P8" s="164"/>
      <c r="Q8" s="144"/>
    </row>
    <row r="9" spans="1:20" s="2" customFormat="1" ht="20.25" customHeight="1" x14ac:dyDescent="0.25">
      <c r="A9" s="163" t="s">
        <v>86</v>
      </c>
      <c r="B9" s="164"/>
      <c r="C9" s="164"/>
      <c r="D9" s="164"/>
      <c r="E9" s="144"/>
      <c r="G9" s="163" t="s">
        <v>89</v>
      </c>
      <c r="H9" s="164"/>
      <c r="I9" s="164"/>
      <c r="J9" s="164"/>
      <c r="K9" s="144"/>
      <c r="M9" s="175" t="s">
        <v>108</v>
      </c>
      <c r="N9" s="175"/>
      <c r="O9" s="164"/>
      <c r="P9" s="164"/>
      <c r="Q9" s="144"/>
    </row>
    <row r="10" spans="1:20" s="2" customFormat="1" ht="20.25" customHeight="1" x14ac:dyDescent="0.25">
      <c r="A10" s="163" t="s">
        <v>103</v>
      </c>
      <c r="B10" s="164"/>
      <c r="C10" s="164"/>
      <c r="D10" s="164"/>
      <c r="E10" s="144"/>
      <c r="G10" s="163" t="s">
        <v>95</v>
      </c>
      <c r="H10" s="164"/>
      <c r="I10" s="164"/>
      <c r="J10" s="164"/>
      <c r="K10" s="144"/>
      <c r="M10" s="146"/>
      <c r="N10" s="147"/>
      <c r="O10" s="147"/>
      <c r="P10" s="147"/>
      <c r="Q10" s="147"/>
    </row>
    <row r="11" spans="1:20" s="2" customFormat="1" ht="20.25" customHeight="1" x14ac:dyDescent="0.25">
      <c r="A11" s="163" t="s">
        <v>87</v>
      </c>
      <c r="B11" s="164"/>
      <c r="C11" s="164"/>
      <c r="D11" s="164"/>
      <c r="E11" s="144"/>
      <c r="G11" s="163" t="s">
        <v>96</v>
      </c>
      <c r="H11" s="164"/>
      <c r="I11" s="164"/>
      <c r="J11" s="164"/>
      <c r="K11" s="144"/>
      <c r="M11" s="148" t="s">
        <v>111</v>
      </c>
      <c r="N11" s="148"/>
      <c r="O11" s="148"/>
      <c r="P11" s="148"/>
      <c r="Q11" s="148"/>
    </row>
    <row r="12" spans="1:20" s="2" customFormat="1" ht="20.25" customHeight="1" x14ac:dyDescent="0.25">
      <c r="A12" s="163" t="s">
        <v>100</v>
      </c>
      <c r="B12" s="164"/>
      <c r="C12" s="164"/>
      <c r="D12" s="164"/>
      <c r="E12" s="144"/>
      <c r="G12" s="163" t="s">
        <v>97</v>
      </c>
      <c r="H12" s="164"/>
      <c r="I12" s="164"/>
      <c r="J12" s="164"/>
      <c r="K12" s="144"/>
      <c r="M12" s="148" t="s">
        <v>112</v>
      </c>
      <c r="N12" s="149"/>
      <c r="O12" s="149"/>
      <c r="P12" s="149"/>
      <c r="Q12" s="149"/>
    </row>
    <row r="13" spans="1:20" s="2" customFormat="1" ht="20.25" customHeight="1" x14ac:dyDescent="0.25">
      <c r="B13" s="144"/>
      <c r="C13" s="144"/>
      <c r="D13" s="144"/>
      <c r="E13" s="144"/>
      <c r="G13" s="163" t="s">
        <v>113</v>
      </c>
      <c r="H13" s="164"/>
      <c r="I13" s="164"/>
      <c r="J13" s="164"/>
      <c r="K13" s="144"/>
      <c r="M13" s="149"/>
      <c r="N13" s="149"/>
      <c r="O13" s="149"/>
      <c r="P13" s="149"/>
      <c r="Q13" s="149"/>
    </row>
    <row r="14" spans="1:20" ht="4.5" customHeight="1" x14ac:dyDescent="0.25">
      <c r="M14" s="174"/>
      <c r="N14" s="174"/>
      <c r="O14" s="174"/>
      <c r="P14" s="174"/>
      <c r="Q14" s="174"/>
    </row>
    <row r="15" spans="1:20" ht="24" customHeight="1" x14ac:dyDescent="0.3">
      <c r="A15" s="135" t="s">
        <v>109</v>
      </c>
      <c r="B15" s="136"/>
      <c r="C15" s="136"/>
      <c r="D15" s="136"/>
      <c r="E15" s="136"/>
      <c r="F15" s="137"/>
      <c r="G15" s="137"/>
      <c r="H15" s="136"/>
      <c r="I15" s="136"/>
      <c r="J15" s="136"/>
      <c r="K15" s="136"/>
      <c r="L15" s="137"/>
      <c r="M15" s="137"/>
      <c r="N15" s="136"/>
      <c r="O15" s="136"/>
      <c r="P15" s="136"/>
      <c r="Q15" s="138"/>
    </row>
    <row r="16" spans="1:20" ht="3.75" customHeight="1" x14ac:dyDescent="0.25"/>
    <row r="17" spans="1:17" s="8" customFormat="1" x14ac:dyDescent="0.25">
      <c r="A17" s="176" t="s">
        <v>19</v>
      </c>
      <c r="B17" s="177"/>
      <c r="C17" s="177"/>
      <c r="D17" s="177"/>
      <c r="E17" s="178"/>
      <c r="F17" s="22"/>
      <c r="G17" s="179" t="s">
        <v>20</v>
      </c>
      <c r="H17" s="179"/>
      <c r="I17" s="179"/>
      <c r="J17" s="179"/>
      <c r="K17" s="179"/>
      <c r="M17" s="179" t="s">
        <v>21</v>
      </c>
      <c r="N17" s="179"/>
      <c r="O17" s="179"/>
      <c r="P17" s="179"/>
      <c r="Q17" s="179"/>
    </row>
    <row r="18" spans="1:17" s="8" customFormat="1" x14ac:dyDescent="0.25">
      <c r="A18" s="141" t="s">
        <v>11</v>
      </c>
      <c r="B18" s="142" t="s">
        <v>2</v>
      </c>
      <c r="C18" s="142" t="s">
        <v>85</v>
      </c>
      <c r="D18" s="142" t="s">
        <v>65</v>
      </c>
      <c r="E18" s="142" t="s">
        <v>6</v>
      </c>
      <c r="G18" s="141" t="s">
        <v>11</v>
      </c>
      <c r="H18" s="142" t="s">
        <v>2</v>
      </c>
      <c r="I18" s="142" t="s">
        <v>85</v>
      </c>
      <c r="J18" s="142" t="s">
        <v>65</v>
      </c>
      <c r="K18" s="142" t="s">
        <v>6</v>
      </c>
      <c r="M18" s="139" t="s">
        <v>11</v>
      </c>
      <c r="N18" s="140" t="s">
        <v>2</v>
      </c>
      <c r="O18" s="140" t="s">
        <v>85</v>
      </c>
      <c r="P18" s="140" t="s">
        <v>65</v>
      </c>
      <c r="Q18" s="140" t="s">
        <v>6</v>
      </c>
    </row>
    <row r="19" spans="1:17" s="129" customFormat="1" ht="5.45" customHeight="1" x14ac:dyDescent="0.25">
      <c r="B19" s="130"/>
      <c r="C19" s="130"/>
      <c r="D19" s="130"/>
      <c r="E19" s="130"/>
      <c r="H19" s="130"/>
      <c r="I19" s="130"/>
      <c r="J19" s="130"/>
      <c r="K19" s="130"/>
      <c r="N19" s="130"/>
      <c r="O19" s="130"/>
      <c r="P19" s="130"/>
      <c r="Q19" s="130"/>
    </row>
    <row r="20" spans="1:17" s="129" customFormat="1" ht="18" customHeight="1" x14ac:dyDescent="0.25">
      <c r="A20" s="150" t="s">
        <v>12</v>
      </c>
      <c r="B20" s="151"/>
      <c r="C20" s="151"/>
      <c r="D20" s="151"/>
      <c r="E20" s="151"/>
      <c r="F20" s="152"/>
      <c r="G20" s="150" t="s">
        <v>12</v>
      </c>
      <c r="H20" s="151"/>
      <c r="I20" s="151"/>
      <c r="J20" s="151"/>
      <c r="K20" s="151"/>
      <c r="L20" s="152"/>
      <c r="M20" s="150" t="s">
        <v>12</v>
      </c>
      <c r="N20" s="151"/>
      <c r="O20" s="151"/>
      <c r="P20" s="151"/>
      <c r="Q20" s="151"/>
    </row>
    <row r="21" spans="1:17" s="129" customFormat="1" ht="18" customHeight="1" x14ac:dyDescent="0.25">
      <c r="A21" s="163" t="s">
        <v>13</v>
      </c>
      <c r="B21" s="151"/>
      <c r="C21" s="151"/>
      <c r="D21" s="151"/>
      <c r="E21" s="151"/>
      <c r="F21" s="152"/>
      <c r="G21" s="163" t="s">
        <v>13</v>
      </c>
      <c r="H21" s="151"/>
      <c r="I21" s="151"/>
      <c r="J21" s="151"/>
      <c r="K21" s="151"/>
      <c r="L21" s="152"/>
      <c r="M21" s="163" t="s">
        <v>13</v>
      </c>
      <c r="N21" s="151"/>
      <c r="O21" s="151"/>
      <c r="P21" s="151"/>
      <c r="Q21" s="151"/>
    </row>
    <row r="22" spans="1:17" s="129" customFormat="1" ht="18" customHeight="1" x14ac:dyDescent="0.25">
      <c r="A22" s="163" t="s">
        <v>14</v>
      </c>
      <c r="B22" s="151"/>
      <c r="C22" s="151"/>
      <c r="D22" s="151"/>
      <c r="E22" s="151"/>
      <c r="F22" s="152"/>
      <c r="G22" s="163" t="s">
        <v>14</v>
      </c>
      <c r="H22" s="151"/>
      <c r="I22" s="151"/>
      <c r="J22" s="151"/>
      <c r="K22" s="151"/>
      <c r="L22" s="152"/>
      <c r="M22" s="163" t="s">
        <v>14</v>
      </c>
      <c r="N22" s="151"/>
      <c r="O22" s="151"/>
      <c r="P22" s="151"/>
      <c r="Q22" s="151"/>
    </row>
    <row r="23" spans="1:17" s="129" customFormat="1" ht="5.25" customHeight="1" x14ac:dyDescent="0.25">
      <c r="A23" s="152"/>
      <c r="B23" s="153"/>
      <c r="C23" s="153"/>
      <c r="D23" s="153"/>
      <c r="E23" s="153"/>
      <c r="F23" s="152"/>
      <c r="G23" s="152"/>
      <c r="H23" s="153"/>
      <c r="I23" s="153"/>
      <c r="J23" s="153"/>
      <c r="K23" s="153"/>
      <c r="L23" s="152"/>
      <c r="M23" s="152"/>
      <c r="N23" s="153"/>
      <c r="O23" s="153"/>
      <c r="P23" s="153"/>
      <c r="Q23" s="153"/>
    </row>
    <row r="24" spans="1:17" s="129" customFormat="1" ht="18" customHeight="1" x14ac:dyDescent="0.25">
      <c r="A24" s="150" t="s">
        <v>15</v>
      </c>
      <c r="B24" s="151"/>
      <c r="C24" s="151"/>
      <c r="D24" s="151"/>
      <c r="E24" s="151"/>
      <c r="F24" s="152"/>
      <c r="G24" s="150" t="s">
        <v>15</v>
      </c>
      <c r="H24" s="151"/>
      <c r="I24" s="151"/>
      <c r="J24" s="151"/>
      <c r="K24" s="151"/>
      <c r="L24" s="152"/>
      <c r="M24" s="150" t="s">
        <v>15</v>
      </c>
      <c r="N24" s="151"/>
      <c r="O24" s="151"/>
      <c r="P24" s="151"/>
      <c r="Q24" s="151"/>
    </row>
    <row r="25" spans="1:17" s="129" customFormat="1" ht="18" customHeight="1" x14ac:dyDescent="0.25">
      <c r="A25" s="163" t="s">
        <v>13</v>
      </c>
      <c r="B25" s="151"/>
      <c r="C25" s="151"/>
      <c r="D25" s="151"/>
      <c r="E25" s="151"/>
      <c r="F25" s="152"/>
      <c r="G25" s="163" t="s">
        <v>13</v>
      </c>
      <c r="H25" s="151"/>
      <c r="I25" s="151"/>
      <c r="J25" s="151"/>
      <c r="K25" s="151"/>
      <c r="L25" s="152"/>
      <c r="M25" s="163" t="s">
        <v>13</v>
      </c>
      <c r="N25" s="151"/>
      <c r="O25" s="151"/>
      <c r="P25" s="151"/>
      <c r="Q25" s="151"/>
    </row>
    <row r="26" spans="1:17" s="129" customFormat="1" ht="18" customHeight="1" x14ac:dyDescent="0.25">
      <c r="A26" s="163" t="s">
        <v>14</v>
      </c>
      <c r="B26" s="151"/>
      <c r="C26" s="151"/>
      <c r="D26" s="151"/>
      <c r="E26" s="151"/>
      <c r="F26" s="152"/>
      <c r="G26" s="163" t="s">
        <v>14</v>
      </c>
      <c r="H26" s="151"/>
      <c r="I26" s="151"/>
      <c r="J26" s="151"/>
      <c r="K26" s="151"/>
      <c r="L26" s="152"/>
      <c r="M26" s="163" t="s">
        <v>14</v>
      </c>
      <c r="N26" s="151"/>
      <c r="O26" s="151"/>
      <c r="P26" s="151"/>
      <c r="Q26" s="151"/>
    </row>
    <row r="27" spans="1:17" s="129" customFormat="1" ht="5.45" customHeight="1" x14ac:dyDescent="0.25">
      <c r="A27" s="152"/>
      <c r="B27" s="153"/>
      <c r="C27" s="153"/>
      <c r="D27" s="153"/>
      <c r="E27" s="153"/>
      <c r="F27" s="152"/>
      <c r="G27" s="152"/>
      <c r="H27" s="153"/>
      <c r="I27" s="153"/>
      <c r="J27" s="153"/>
      <c r="K27" s="153"/>
      <c r="L27" s="152"/>
      <c r="M27" s="152"/>
      <c r="N27" s="153"/>
      <c r="O27" s="153"/>
      <c r="P27" s="153"/>
      <c r="Q27" s="153"/>
    </row>
    <row r="28" spans="1:17" s="129" customFormat="1" ht="18.75" customHeight="1" x14ac:dyDescent="0.25">
      <c r="A28" s="150" t="s">
        <v>16</v>
      </c>
      <c r="B28" s="151"/>
      <c r="C28" s="151"/>
      <c r="D28" s="151"/>
      <c r="E28" s="151"/>
      <c r="F28" s="152"/>
      <c r="G28" s="150" t="s">
        <v>16</v>
      </c>
      <c r="H28" s="151"/>
      <c r="I28" s="151"/>
      <c r="J28" s="151"/>
      <c r="K28" s="151"/>
      <c r="L28" s="152"/>
      <c r="M28" s="150" t="s">
        <v>16</v>
      </c>
      <c r="N28" s="151"/>
      <c r="O28" s="151"/>
      <c r="P28" s="151"/>
      <c r="Q28" s="151"/>
    </row>
    <row r="29" spans="1:17" s="129" customFormat="1" ht="18.75" customHeight="1" x14ac:dyDescent="0.25">
      <c r="A29" s="163" t="s">
        <v>13</v>
      </c>
      <c r="B29" s="151"/>
      <c r="C29" s="151"/>
      <c r="D29" s="151"/>
      <c r="E29" s="151"/>
      <c r="F29" s="152"/>
      <c r="G29" s="163" t="s">
        <v>13</v>
      </c>
      <c r="H29" s="151"/>
      <c r="I29" s="151"/>
      <c r="J29" s="151"/>
      <c r="K29" s="151"/>
      <c r="L29" s="152"/>
      <c r="M29" s="163" t="s">
        <v>13</v>
      </c>
      <c r="N29" s="151"/>
      <c r="O29" s="151"/>
      <c r="P29" s="151"/>
      <c r="Q29" s="151"/>
    </row>
    <row r="30" spans="1:17" s="129" customFormat="1" ht="18.75" customHeight="1" x14ac:dyDescent="0.25">
      <c r="A30" s="163" t="s">
        <v>14</v>
      </c>
      <c r="B30" s="151"/>
      <c r="C30" s="151"/>
      <c r="D30" s="151"/>
      <c r="E30" s="151"/>
      <c r="F30" s="152"/>
      <c r="G30" s="163" t="s">
        <v>14</v>
      </c>
      <c r="H30" s="151"/>
      <c r="I30" s="151"/>
      <c r="J30" s="151"/>
      <c r="K30" s="151"/>
      <c r="L30" s="152"/>
      <c r="M30" s="163" t="s">
        <v>14</v>
      </c>
      <c r="N30" s="151"/>
      <c r="O30" s="151"/>
      <c r="P30" s="151"/>
      <c r="Q30" s="151"/>
    </row>
    <row r="31" spans="1:17" s="129" customFormat="1" ht="5.45" customHeight="1" x14ac:dyDescent="0.25">
      <c r="A31" s="152"/>
      <c r="B31" s="153"/>
      <c r="C31" s="153"/>
      <c r="D31" s="153"/>
      <c r="E31" s="153"/>
      <c r="F31" s="152"/>
      <c r="G31" s="152"/>
      <c r="H31" s="153"/>
      <c r="I31" s="153"/>
      <c r="J31" s="153"/>
      <c r="K31" s="153"/>
      <c r="L31" s="152"/>
      <c r="M31" s="152"/>
      <c r="N31" s="153"/>
      <c r="O31" s="153"/>
      <c r="P31" s="153"/>
      <c r="Q31" s="153"/>
    </row>
    <row r="32" spans="1:17" s="129" customFormat="1" ht="18.75" customHeight="1" x14ac:dyDescent="0.25">
      <c r="A32" s="150" t="s">
        <v>17</v>
      </c>
      <c r="B32" s="151"/>
      <c r="C32" s="151"/>
      <c r="D32" s="151"/>
      <c r="E32" s="151"/>
      <c r="F32" s="152"/>
      <c r="G32" s="150" t="s">
        <v>17</v>
      </c>
      <c r="H32" s="151"/>
      <c r="I32" s="151"/>
      <c r="J32" s="151"/>
      <c r="K32" s="151"/>
      <c r="L32" s="152"/>
      <c r="M32" s="150" t="s">
        <v>17</v>
      </c>
      <c r="N32" s="151"/>
      <c r="O32" s="151"/>
      <c r="P32" s="151"/>
      <c r="Q32" s="151"/>
    </row>
    <row r="33" spans="1:17" s="129" customFormat="1" ht="18.75" customHeight="1" x14ac:dyDescent="0.25">
      <c r="A33" s="163" t="s">
        <v>13</v>
      </c>
      <c r="B33" s="151"/>
      <c r="C33" s="151"/>
      <c r="D33" s="151"/>
      <c r="E33" s="151"/>
      <c r="F33" s="152"/>
      <c r="G33" s="163" t="s">
        <v>13</v>
      </c>
      <c r="H33" s="151"/>
      <c r="I33" s="151"/>
      <c r="J33" s="151"/>
      <c r="K33" s="151"/>
      <c r="L33" s="152"/>
      <c r="M33" s="163" t="s">
        <v>13</v>
      </c>
      <c r="N33" s="151"/>
      <c r="O33" s="151"/>
      <c r="P33" s="151"/>
      <c r="Q33" s="151"/>
    </row>
    <row r="34" spans="1:17" s="129" customFormat="1" ht="18.75" customHeight="1" x14ac:dyDescent="0.25">
      <c r="A34" s="163" t="s">
        <v>14</v>
      </c>
      <c r="B34" s="151"/>
      <c r="C34" s="151"/>
      <c r="D34" s="151"/>
      <c r="E34" s="151"/>
      <c r="F34" s="152"/>
      <c r="G34" s="163" t="s">
        <v>14</v>
      </c>
      <c r="H34" s="151"/>
      <c r="I34" s="151"/>
      <c r="J34" s="151"/>
      <c r="K34" s="151"/>
      <c r="L34" s="152"/>
      <c r="M34" s="163" t="s">
        <v>14</v>
      </c>
      <c r="N34" s="151"/>
      <c r="O34" s="151"/>
      <c r="P34" s="151"/>
      <c r="Q34" s="151"/>
    </row>
    <row r="35" spans="1:17" s="129" customFormat="1" ht="5.45" customHeight="1" x14ac:dyDescent="0.25">
      <c r="A35" s="152"/>
      <c r="B35" s="153"/>
      <c r="C35" s="153"/>
      <c r="D35" s="153"/>
      <c r="E35" s="153"/>
      <c r="F35" s="152"/>
      <c r="G35" s="152"/>
      <c r="H35" s="153"/>
      <c r="I35" s="153"/>
      <c r="J35" s="153"/>
      <c r="K35" s="153"/>
      <c r="L35" s="152"/>
      <c r="M35" s="152"/>
      <c r="N35" s="153"/>
      <c r="O35" s="153"/>
      <c r="P35" s="153"/>
      <c r="Q35" s="153"/>
    </row>
    <row r="36" spans="1:17" s="129" customFormat="1" ht="18.75" customHeight="1" x14ac:dyDescent="0.25">
      <c r="A36" s="150" t="s">
        <v>18</v>
      </c>
      <c r="B36" s="151"/>
      <c r="C36" s="151"/>
      <c r="D36" s="151"/>
      <c r="E36" s="151"/>
      <c r="F36" s="152"/>
      <c r="G36" s="150" t="s">
        <v>18</v>
      </c>
      <c r="H36" s="151"/>
      <c r="I36" s="151"/>
      <c r="J36" s="151"/>
      <c r="K36" s="151"/>
      <c r="L36" s="152"/>
      <c r="M36" s="150" t="s">
        <v>18</v>
      </c>
      <c r="N36" s="151"/>
      <c r="O36" s="151"/>
      <c r="P36" s="151"/>
      <c r="Q36" s="151"/>
    </row>
    <row r="37" spans="1:17" s="129" customFormat="1" ht="18.75" customHeight="1" x14ac:dyDescent="0.25">
      <c r="A37" s="163" t="s">
        <v>13</v>
      </c>
      <c r="B37" s="151"/>
      <c r="C37" s="151"/>
      <c r="D37" s="151"/>
      <c r="E37" s="151"/>
      <c r="F37" s="152"/>
      <c r="G37" s="163" t="s">
        <v>13</v>
      </c>
      <c r="H37" s="151"/>
      <c r="I37" s="151"/>
      <c r="J37" s="151"/>
      <c r="K37" s="151"/>
      <c r="L37" s="152"/>
      <c r="M37" s="163" t="s">
        <v>13</v>
      </c>
      <c r="N37" s="151"/>
      <c r="O37" s="151"/>
      <c r="P37" s="151"/>
      <c r="Q37" s="151"/>
    </row>
    <row r="38" spans="1:17" s="129" customFormat="1" ht="18.75" customHeight="1" x14ac:dyDescent="0.25">
      <c r="A38" s="163" t="s">
        <v>14</v>
      </c>
      <c r="B38" s="151"/>
      <c r="C38" s="151"/>
      <c r="D38" s="151"/>
      <c r="E38" s="151"/>
      <c r="F38" s="152"/>
      <c r="G38" s="163" t="s">
        <v>14</v>
      </c>
      <c r="H38" s="151"/>
      <c r="I38" s="151"/>
      <c r="J38" s="151"/>
      <c r="K38" s="151"/>
      <c r="L38" s="152"/>
      <c r="M38" s="163" t="s">
        <v>14</v>
      </c>
      <c r="N38" s="151"/>
      <c r="O38" s="151"/>
      <c r="P38" s="151"/>
      <c r="Q38" s="151"/>
    </row>
    <row r="39" spans="1:17" ht="5.25" customHeight="1" x14ac:dyDescent="0.25"/>
    <row r="40" spans="1:17" x14ac:dyDescent="0.25">
      <c r="A40" t="s">
        <v>106</v>
      </c>
    </row>
    <row r="41" spans="1:17" x14ac:dyDescent="0.25">
      <c r="A41" s="165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7"/>
    </row>
    <row r="42" spans="1:17" x14ac:dyDescent="0.25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70"/>
    </row>
    <row r="43" spans="1:17" x14ac:dyDescent="0.25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70"/>
    </row>
    <row r="44" spans="1:17" x14ac:dyDescent="0.25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70"/>
    </row>
    <row r="45" spans="1:17" x14ac:dyDescent="0.25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70"/>
    </row>
    <row r="46" spans="1:17" x14ac:dyDescent="0.25">
      <c r="A46" s="168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70"/>
    </row>
    <row r="47" spans="1:17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70"/>
    </row>
    <row r="48" spans="1:17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70"/>
    </row>
    <row r="49" spans="1:17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70"/>
    </row>
    <row r="50" spans="1:17" x14ac:dyDescent="0.25">
      <c r="A50" s="171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3"/>
    </row>
  </sheetData>
  <sheetProtection algorithmName="SHA-512" hashValue="bAyx10BFFTXJmZbUJ14cWIzpK9pEHJOrIiyrOU5RjLGiLwAgOcRHIaEkV7IRFAARd3ShKSaq2ZduJeoEoqdjZw==" saltValue="K/Uh07N9kMxFETEkDtcygg==" spinCount="100000" sheet="1" objects="1" scenarios="1"/>
  <mergeCells count="32">
    <mergeCell ref="O5:P5"/>
    <mergeCell ref="O6:P6"/>
    <mergeCell ref="O7:P7"/>
    <mergeCell ref="O8:P8"/>
    <mergeCell ref="M5:N5"/>
    <mergeCell ref="M8:N8"/>
    <mergeCell ref="M6:N6"/>
    <mergeCell ref="M7:N7"/>
    <mergeCell ref="B5:D5"/>
    <mergeCell ref="H5:J5"/>
    <mergeCell ref="B7:D7"/>
    <mergeCell ref="B8:D8"/>
    <mergeCell ref="B9:D9"/>
    <mergeCell ref="H6:J6"/>
    <mergeCell ref="H7:J7"/>
    <mergeCell ref="H8:J8"/>
    <mergeCell ref="H9:J9"/>
    <mergeCell ref="H13:J13"/>
    <mergeCell ref="B12:D12"/>
    <mergeCell ref="B6:D6"/>
    <mergeCell ref="O9:P9"/>
    <mergeCell ref="A41:Q50"/>
    <mergeCell ref="B10:D10"/>
    <mergeCell ref="B11:D11"/>
    <mergeCell ref="H10:J10"/>
    <mergeCell ref="M14:Q14"/>
    <mergeCell ref="M9:N9"/>
    <mergeCell ref="H11:J11"/>
    <mergeCell ref="H12:J12"/>
    <mergeCell ref="A17:E17"/>
    <mergeCell ref="G17:K17"/>
    <mergeCell ref="M17:Q17"/>
  </mergeCells>
  <pageMargins left="0.7" right="0.7" top="0.75" bottom="0.75" header="0.3" footer="0.3"/>
  <pageSetup scale="64" fitToHeight="0" orientation="landscape" r:id="rId1"/>
  <headerFooter>
    <oddFooter>&amp;R&amp;"-,Italic"&amp;8&amp;A/2018.1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MudPump_HP_TQ Calculator</vt:lpstr>
      <vt:lpstr>Pump Reference</vt:lpstr>
      <vt:lpstr>Operation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 Schmidt</dc:creator>
  <cp:lastModifiedBy>Garett Schmidt</cp:lastModifiedBy>
  <cp:lastPrinted>2020-04-14T17:10:39Z</cp:lastPrinted>
  <dcterms:created xsi:type="dcterms:W3CDTF">2017-07-31T17:36:39Z</dcterms:created>
  <dcterms:modified xsi:type="dcterms:W3CDTF">2020-04-14T17:14:30Z</dcterms:modified>
</cp:coreProperties>
</file>